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0" windowWidth="19420" windowHeight="11020" firstSheet="1" activeTab="1"/>
  </bookViews>
  <sheets>
    <sheet name="Full Model - Complete" sheetId="2" state="hidden" r:id="rId1"/>
    <sheet name="Full Model" sheetId="1" r:id="rId2"/>
  </sheets>
  <calcPr calcId="145621" iterate="1"/>
</workbook>
</file>

<file path=xl/calcChain.xml><?xml version="1.0" encoding="utf-8"?>
<calcChain xmlns="http://schemas.openxmlformats.org/spreadsheetml/2006/main">
  <c r="D145" i="1" l="1"/>
  <c r="E145" i="1"/>
  <c r="C139" i="1"/>
  <c r="C225" i="2" l="1"/>
  <c r="C226" i="2" s="1"/>
  <c r="D224" i="2"/>
  <c r="E224" i="2" s="1"/>
  <c r="D223" i="2"/>
  <c r="E223" i="2" s="1"/>
  <c r="D222" i="2"/>
  <c r="C218" i="2"/>
  <c r="C219" i="2" s="1"/>
  <c r="D217" i="2"/>
  <c r="E217" i="2" s="1"/>
  <c r="D216" i="2"/>
  <c r="E216" i="2" s="1"/>
  <c r="D215" i="2"/>
  <c r="E215" i="2" s="1"/>
  <c r="D214" i="2"/>
  <c r="D210" i="2"/>
  <c r="E210" i="2" s="1"/>
  <c r="C206" i="2"/>
  <c r="C205" i="2"/>
  <c r="C204" i="2"/>
  <c r="C203" i="2"/>
  <c r="C202" i="2"/>
  <c r="C199" i="2"/>
  <c r="C198" i="2"/>
  <c r="C196" i="2"/>
  <c r="D192" i="2"/>
  <c r="D166" i="2" s="1"/>
  <c r="D168" i="2" s="1"/>
  <c r="E191" i="2"/>
  <c r="E188" i="2"/>
  <c r="E187" i="2"/>
  <c r="E186" i="2"/>
  <c r="E185" i="2"/>
  <c r="E184" i="2"/>
  <c r="E183" i="2"/>
  <c r="E182" i="2"/>
  <c r="C155" i="2"/>
  <c r="C150" i="2"/>
  <c r="C139" i="2"/>
  <c r="D133" i="2" s="1"/>
  <c r="C93" i="2"/>
  <c r="D93" i="2" s="1"/>
  <c r="E93" i="2" s="1"/>
  <c r="C92" i="2"/>
  <c r="D92" i="2" s="1"/>
  <c r="C90" i="2"/>
  <c r="C88" i="2"/>
  <c r="D85" i="2" s="1"/>
  <c r="D80" i="2"/>
  <c r="E80" i="2" s="1"/>
  <c r="D79" i="2"/>
  <c r="E79" i="2" s="1"/>
  <c r="E72" i="2"/>
  <c r="E74" i="2" s="1"/>
  <c r="E68" i="2"/>
  <c r="E91" i="2" s="1"/>
  <c r="D68" i="2"/>
  <c r="D91" i="2" s="1"/>
  <c r="E67" i="2"/>
  <c r="D67" i="2"/>
  <c r="C61" i="2"/>
  <c r="B61" i="2"/>
  <c r="E57" i="2"/>
  <c r="E60" i="2" s="1"/>
  <c r="D57" i="2"/>
  <c r="D59" i="2" s="1"/>
  <c r="D61" i="2" s="1"/>
  <c r="C53" i="2"/>
  <c r="B53" i="2"/>
  <c r="E49" i="2"/>
  <c r="E52" i="2" s="1"/>
  <c r="D49" i="2"/>
  <c r="D51" i="2" s="1"/>
  <c r="D53" i="2" s="1"/>
  <c r="C40" i="2"/>
  <c r="C106" i="2" s="1"/>
  <c r="C39" i="2"/>
  <c r="C110" i="2" s="1"/>
  <c r="C38" i="2"/>
  <c r="D38" i="2" s="1"/>
  <c r="D125" i="2" s="1"/>
  <c r="C37" i="2"/>
  <c r="C146" i="2" s="1"/>
  <c r="C33" i="2"/>
  <c r="C102" i="2" s="1"/>
  <c r="C32" i="2"/>
  <c r="D32" i="2" s="1"/>
  <c r="D123" i="2" s="1"/>
  <c r="C29" i="2"/>
  <c r="C69" i="2" s="1"/>
  <c r="D66" i="2" s="1"/>
  <c r="D23" i="2"/>
  <c r="E23" i="2" s="1"/>
  <c r="C20" i="2"/>
  <c r="B20" i="2"/>
  <c r="B18" i="2"/>
  <c r="C16" i="2"/>
  <c r="C14" i="2"/>
  <c r="C95" i="2" s="1"/>
  <c r="B14" i="2"/>
  <c r="B21" i="2" s="1"/>
  <c r="C11" i="2"/>
  <c r="B11" i="2"/>
  <c r="C10" i="2"/>
  <c r="D10" i="2" s="1"/>
  <c r="E10" i="2" s="1"/>
  <c r="B10" i="2"/>
  <c r="C7" i="2"/>
  <c r="B7" i="2"/>
  <c r="C6" i="2"/>
  <c r="C103" i="2" s="1"/>
  <c r="B6" i="2"/>
  <c r="C4" i="2"/>
  <c r="C4" i="1"/>
  <c r="B6" i="1"/>
  <c r="C6" i="1"/>
  <c r="D3" i="1" s="1"/>
  <c r="B7" i="1"/>
  <c r="C7" i="1"/>
  <c r="B8" i="1"/>
  <c r="C8" i="1"/>
  <c r="B9" i="1"/>
  <c r="C9" i="1"/>
  <c r="D9" i="1"/>
  <c r="E9" i="1"/>
  <c r="B10" i="1"/>
  <c r="C10" i="1"/>
  <c r="D10" i="1" s="1"/>
  <c r="E10" i="1" s="1"/>
  <c r="B11" i="1"/>
  <c r="C11" i="1"/>
  <c r="B12" i="1"/>
  <c r="C12" i="1"/>
  <c r="B13" i="1"/>
  <c r="C13" i="1"/>
  <c r="B14" i="1"/>
  <c r="C14" i="1"/>
  <c r="B15" i="1"/>
  <c r="C15" i="1"/>
  <c r="C16" i="1"/>
  <c r="B17" i="1"/>
  <c r="C17" i="1"/>
  <c r="B18" i="1"/>
  <c r="B19" i="1"/>
  <c r="C19" i="1"/>
  <c r="B20" i="1"/>
  <c r="C20" i="1"/>
  <c r="B21" i="1"/>
  <c r="C21" i="1"/>
  <c r="B22" i="1"/>
  <c r="C22" i="1"/>
  <c r="D23" i="1"/>
  <c r="E23" i="1" s="1"/>
  <c r="B24" i="1"/>
  <c r="C24" i="1"/>
  <c r="B26" i="1"/>
  <c r="C26" i="1"/>
  <c r="D26" i="1"/>
  <c r="E26" i="1" s="1"/>
  <c r="C29" i="1"/>
  <c r="C32" i="1"/>
  <c r="D32" i="1" s="1"/>
  <c r="C33" i="1"/>
  <c r="C35" i="1"/>
  <c r="C37" i="1"/>
  <c r="C38" i="1"/>
  <c r="D38" i="1" s="1"/>
  <c r="C39" i="1"/>
  <c r="C40" i="1"/>
  <c r="C41" i="1"/>
  <c r="C43" i="1"/>
  <c r="C44" i="1" s="1"/>
  <c r="D49" i="1"/>
  <c r="E51" i="1" s="1"/>
  <c r="E49" i="1"/>
  <c r="E52" i="1" s="1"/>
  <c r="D51" i="1"/>
  <c r="D53" i="1" s="1"/>
  <c r="B53" i="1"/>
  <c r="C53" i="1"/>
  <c r="D57" i="1"/>
  <c r="E59" i="1" s="1"/>
  <c r="E57" i="1"/>
  <c r="E60" i="1" s="1"/>
  <c r="B61" i="1"/>
  <c r="C61" i="1"/>
  <c r="D67" i="1"/>
  <c r="E67" i="1"/>
  <c r="D68" i="1"/>
  <c r="E68" i="1"/>
  <c r="C69" i="1"/>
  <c r="D66" i="1" s="1"/>
  <c r="E72" i="1"/>
  <c r="E74" i="1"/>
  <c r="D79" i="1"/>
  <c r="E79" i="1" s="1"/>
  <c r="D80" i="1"/>
  <c r="E80" i="1" s="1"/>
  <c r="C88" i="1"/>
  <c r="D85" i="1" s="1"/>
  <c r="C90" i="1"/>
  <c r="D91" i="1"/>
  <c r="E91" i="1"/>
  <c r="C92" i="1"/>
  <c r="D92" i="1" s="1"/>
  <c r="E92" i="1" s="1"/>
  <c r="C93" i="1"/>
  <c r="D93" i="1" s="1"/>
  <c r="E93" i="1" s="1"/>
  <c r="C95" i="1"/>
  <c r="D95" i="1"/>
  <c r="E95" i="1" s="1"/>
  <c r="C98" i="1"/>
  <c r="C102" i="1"/>
  <c r="C103" i="1"/>
  <c r="C104" i="1"/>
  <c r="D104" i="1" s="1"/>
  <c r="E104" i="1" s="1"/>
  <c r="C106" i="1"/>
  <c r="C107" i="1"/>
  <c r="C108" i="1"/>
  <c r="D108" i="1" s="1"/>
  <c r="E108" i="1" s="1"/>
  <c r="C110" i="1"/>
  <c r="C111" i="1"/>
  <c r="C112" i="1" s="1"/>
  <c r="D112" i="1" s="1"/>
  <c r="E112" i="1" s="1"/>
  <c r="C146" i="1"/>
  <c r="D144" i="1" s="1"/>
  <c r="E182" i="1"/>
  <c r="E192" i="1" s="1"/>
  <c r="E183" i="1"/>
  <c r="E184" i="1"/>
  <c r="E185" i="1"/>
  <c r="E186" i="1"/>
  <c r="E187" i="1"/>
  <c r="E188" i="1"/>
  <c r="E191" i="1"/>
  <c r="D192" i="1"/>
  <c r="D161" i="1" s="1"/>
  <c r="C196" i="1"/>
  <c r="C198" i="1"/>
  <c r="C199" i="1"/>
  <c r="C202" i="1"/>
  <c r="C203" i="1"/>
  <c r="C204" i="1"/>
  <c r="C205" i="1"/>
  <c r="C206" i="1"/>
  <c r="C207" i="1" s="1"/>
  <c r="C209" i="1" s="1"/>
  <c r="C211" i="1" s="1"/>
  <c r="D210" i="1"/>
  <c r="E210" i="1" s="1"/>
  <c r="D214" i="1"/>
  <c r="E214" i="1" s="1"/>
  <c r="D215" i="1"/>
  <c r="E215" i="1"/>
  <c r="D216" i="1"/>
  <c r="E216" i="1"/>
  <c r="D217" i="1"/>
  <c r="E217" i="1"/>
  <c r="C218" i="1"/>
  <c r="C150" i="1" s="1"/>
  <c r="D218" i="1"/>
  <c r="C219" i="1"/>
  <c r="D219" i="1"/>
  <c r="D151" i="1" s="1"/>
  <c r="D222" i="1"/>
  <c r="E222" i="1" s="1"/>
  <c r="D223" i="1"/>
  <c r="E223" i="1" s="1"/>
  <c r="D224" i="1"/>
  <c r="E224" i="1"/>
  <c r="C225" i="1"/>
  <c r="C155" i="1" s="1"/>
  <c r="D225" i="1"/>
  <c r="C226" i="1"/>
  <c r="D226" i="1"/>
  <c r="D59" i="1" l="1"/>
  <c r="D61" i="1" s="1"/>
  <c r="D69" i="1"/>
  <c r="D199" i="1"/>
  <c r="E199" i="1" s="1"/>
  <c r="D69" i="2"/>
  <c r="B8" i="2"/>
  <c r="D218" i="2"/>
  <c r="D75" i="2"/>
  <c r="D77" i="2" s="1"/>
  <c r="D20" i="2" s="1"/>
  <c r="C207" i="2"/>
  <c r="C209" i="2" s="1"/>
  <c r="C211" i="2" s="1"/>
  <c r="D199" i="2"/>
  <c r="E199" i="2" s="1"/>
  <c r="E192" i="2"/>
  <c r="E171" i="2" s="1"/>
  <c r="E173" i="2" s="1"/>
  <c r="D3" i="2"/>
  <c r="D161" i="2"/>
  <c r="E51" i="2"/>
  <c r="E53" i="2" s="1"/>
  <c r="E214" i="2"/>
  <c r="E218" i="2" s="1"/>
  <c r="E219" i="2" s="1"/>
  <c r="E151" i="2" s="1"/>
  <c r="D225" i="2"/>
  <c r="D226" i="2" s="1"/>
  <c r="D156" i="2" s="1"/>
  <c r="E218" i="1"/>
  <c r="E219" i="1" s="1"/>
  <c r="E151" i="1" s="1"/>
  <c r="E225" i="1"/>
  <c r="E226" i="1" s="1"/>
  <c r="E61" i="1"/>
  <c r="E53" i="1"/>
  <c r="E75" i="1"/>
  <c r="E77" i="1" s="1"/>
  <c r="E20" i="1" s="1"/>
  <c r="E90" i="1"/>
  <c r="E86" i="1" s="1"/>
  <c r="D6" i="1"/>
  <c r="E3" i="1" s="1"/>
  <c r="D90" i="1"/>
  <c r="D96" i="1" s="1"/>
  <c r="D75" i="1"/>
  <c r="D77" i="1" s="1"/>
  <c r="D30" i="1" s="1"/>
  <c r="D62" i="1"/>
  <c r="D5" i="1" s="1"/>
  <c r="E66" i="2"/>
  <c r="E69" i="2" s="1"/>
  <c r="E29" i="2" s="1"/>
  <c r="D29" i="2"/>
  <c r="D62" i="2"/>
  <c r="D5" i="2" s="1"/>
  <c r="E75" i="2"/>
  <c r="E77" i="2" s="1"/>
  <c r="E20" i="2" s="1"/>
  <c r="E92" i="2"/>
  <c r="E90" i="2" s="1"/>
  <c r="D90" i="2"/>
  <c r="B12" i="2"/>
  <c r="B9" i="2"/>
  <c r="C98" i="2"/>
  <c r="D95" i="2"/>
  <c r="C107" i="2"/>
  <c r="C108" i="2" s="1"/>
  <c r="D108" i="2" s="1"/>
  <c r="E108" i="2" s="1"/>
  <c r="C111" i="2"/>
  <c r="C8" i="2"/>
  <c r="C21" i="2"/>
  <c r="E32" i="2"/>
  <c r="E123" i="2" s="1"/>
  <c r="C35" i="2"/>
  <c r="E38" i="2"/>
  <c r="E125" i="2" s="1"/>
  <c r="E59" i="2"/>
  <c r="E61" i="2" s="1"/>
  <c r="C104" i="2"/>
  <c r="D104" i="2" s="1"/>
  <c r="E104" i="2" s="1"/>
  <c r="D144" i="2"/>
  <c r="C160" i="2"/>
  <c r="C175" i="2" s="1"/>
  <c r="C112" i="2"/>
  <c r="D112" i="2" s="1"/>
  <c r="E112" i="2" s="1"/>
  <c r="C41" i="2"/>
  <c r="C43" i="2" s="1"/>
  <c r="E166" i="2"/>
  <c r="E168" i="2" s="1"/>
  <c r="D219" i="2"/>
  <c r="D151" i="2" s="1"/>
  <c r="E222" i="2"/>
  <c r="E156" i="1"/>
  <c r="E161" i="1"/>
  <c r="E171" i="1"/>
  <c r="E173" i="1" s="1"/>
  <c r="C160" i="1"/>
  <c r="C175" i="1" s="1"/>
  <c r="D156" i="1"/>
  <c r="D166" i="1"/>
  <c r="D29" i="1"/>
  <c r="E66" i="1"/>
  <c r="E69" i="1" s="1"/>
  <c r="E29" i="1" s="1"/>
  <c r="E38" i="1"/>
  <c r="E32" i="1"/>
  <c r="D86" i="1" l="1"/>
  <c r="E97" i="1"/>
  <c r="D30" i="2"/>
  <c r="D121" i="2" s="1"/>
  <c r="C44" i="2"/>
  <c r="D6" i="2"/>
  <c r="E3" i="2" s="1"/>
  <c r="E161" i="2"/>
  <c r="E62" i="1"/>
  <c r="E5" i="1" s="1"/>
  <c r="E6" i="1" s="1"/>
  <c r="E7" i="1" s="1"/>
  <c r="E107" i="1" s="1"/>
  <c r="E106" i="1" s="1"/>
  <c r="E40" i="1" s="1"/>
  <c r="D103" i="1"/>
  <c r="D102" i="1" s="1"/>
  <c r="D33" i="1" s="1"/>
  <c r="D7" i="1"/>
  <c r="D8" i="1" s="1"/>
  <c r="D12" i="1" s="1"/>
  <c r="D15" i="1" s="1"/>
  <c r="D20" i="1"/>
  <c r="E225" i="2"/>
  <c r="E226" i="2" s="1"/>
  <c r="E156" i="2" s="1"/>
  <c r="E97" i="2"/>
  <c r="E86" i="2"/>
  <c r="B15" i="2"/>
  <c r="B17" i="2" s="1"/>
  <c r="B13" i="2"/>
  <c r="E62" i="2"/>
  <c r="E5" i="2" s="1"/>
  <c r="D120" i="2"/>
  <c r="C12" i="2"/>
  <c r="C9" i="2"/>
  <c r="D9" i="2" s="1"/>
  <c r="E95" i="2"/>
  <c r="D96" i="2"/>
  <c r="E96" i="2" s="1"/>
  <c r="D86" i="2"/>
  <c r="D103" i="2"/>
  <c r="D102" i="2" s="1"/>
  <c r="D33" i="2" s="1"/>
  <c r="D124" i="2" s="1"/>
  <c r="E120" i="2"/>
  <c r="D107" i="1"/>
  <c r="D106" i="1" s="1"/>
  <c r="D40" i="1" s="1"/>
  <c r="D98" i="1"/>
  <c r="E96" i="1"/>
  <c r="E98" i="1" s="1"/>
  <c r="D168" i="1"/>
  <c r="E166" i="1"/>
  <c r="E168" i="1" s="1"/>
  <c r="E30" i="1"/>
  <c r="E30" i="2" l="1"/>
  <c r="E121" i="2" s="1"/>
  <c r="E6" i="2"/>
  <c r="E103" i="2" s="1"/>
  <c r="E102" i="2" s="1"/>
  <c r="E33" i="2" s="1"/>
  <c r="E124" i="2" s="1"/>
  <c r="E98" i="2"/>
  <c r="E14" i="2" s="1"/>
  <c r="E103" i="1"/>
  <c r="E102" i="1" s="1"/>
  <c r="E33" i="1" s="1"/>
  <c r="D111" i="1"/>
  <c r="D110" i="1" s="1"/>
  <c r="D39" i="1" s="1"/>
  <c r="D13" i="1"/>
  <c r="E111" i="1"/>
  <c r="E110" i="1" s="1"/>
  <c r="E39" i="1" s="1"/>
  <c r="E8" i="1"/>
  <c r="E12" i="1" s="1"/>
  <c r="E15" i="1" s="1"/>
  <c r="E9" i="2"/>
  <c r="D7" i="2"/>
  <c r="D98" i="2"/>
  <c r="C15" i="2"/>
  <c r="C17" i="2" s="1"/>
  <c r="C13" i="2"/>
  <c r="B22" i="2"/>
  <c r="B24" i="2" s="1"/>
  <c r="B26" i="2" s="1"/>
  <c r="B19" i="2"/>
  <c r="D87" i="1"/>
  <c r="D88" i="1" s="1"/>
  <c r="E21" i="1"/>
  <c r="E87" i="1"/>
  <c r="E7" i="2" l="1"/>
  <c r="E8" i="2" s="1"/>
  <c r="E12" i="2" s="1"/>
  <c r="E87" i="2"/>
  <c r="E21" i="2"/>
  <c r="F14" i="1"/>
  <c r="E13" i="1"/>
  <c r="E15" i="2"/>
  <c r="E13" i="2"/>
  <c r="C22" i="2"/>
  <c r="C24" i="2" s="1"/>
  <c r="C26" i="2" s="1"/>
  <c r="D26" i="2" s="1"/>
  <c r="E26" i="2" s="1"/>
  <c r="C19" i="2"/>
  <c r="D111" i="2"/>
  <c r="D110" i="2" s="1"/>
  <c r="D39" i="2" s="1"/>
  <c r="D126" i="2" s="1"/>
  <c r="D107" i="2"/>
  <c r="D106" i="2" s="1"/>
  <c r="D40" i="2" s="1"/>
  <c r="D127" i="2" s="1"/>
  <c r="D8" i="2"/>
  <c r="D12" i="2" s="1"/>
  <c r="D87" i="2"/>
  <c r="D88" i="2" s="1"/>
  <c r="D14" i="2"/>
  <c r="D21" i="2" s="1"/>
  <c r="E107" i="2"/>
  <c r="E106" i="2" s="1"/>
  <c r="E40" i="2" s="1"/>
  <c r="E111" i="2"/>
  <c r="E110" i="2" s="1"/>
  <c r="E39" i="2" s="1"/>
  <c r="D31" i="1"/>
  <c r="E85" i="1"/>
  <c r="E88" i="1" s="1"/>
  <c r="E31" i="1" s="1"/>
  <c r="D21" i="1"/>
  <c r="E126" i="2" l="1"/>
  <c r="E127" i="2"/>
  <c r="D15" i="2"/>
  <c r="D13" i="2"/>
  <c r="E85" i="2"/>
  <c r="E88" i="2" s="1"/>
  <c r="E31" i="2" s="1"/>
  <c r="E122" i="2" s="1"/>
  <c r="D31" i="2"/>
  <c r="D122" i="2" s="1"/>
  <c r="D128" i="1"/>
  <c r="E128" i="1"/>
  <c r="D128" i="2" l="1"/>
  <c r="E128" i="2"/>
  <c r="F128" i="1" s="1"/>
  <c r="D17" i="1" l="1"/>
  <c r="D18" i="1" s="1"/>
  <c r="E17" i="1"/>
  <c r="E18" i="1" s="1"/>
  <c r="E22" i="1" s="1"/>
  <c r="E24" i="1" l="1"/>
  <c r="E25" i="1" s="1"/>
  <c r="D22" i="1"/>
  <c r="E117" i="1" l="1"/>
  <c r="E130" i="1" s="1"/>
  <c r="D24" i="1"/>
  <c r="D25" i="1" s="1"/>
  <c r="D117" i="1" l="1"/>
  <c r="D130" i="1" l="1"/>
  <c r="D135" i="1" s="1"/>
  <c r="D165" i="1" l="1"/>
  <c r="E165" i="1" s="1"/>
  <c r="D194" i="1" l="1"/>
  <c r="D195" i="1" s="1"/>
  <c r="D160" i="1"/>
  <c r="D155" i="1" s="1"/>
  <c r="D150" i="1" s="1"/>
  <c r="D175" i="1" s="1"/>
  <c r="D139" i="1"/>
  <c r="D146" i="1"/>
  <c r="D196" i="1" l="1"/>
  <c r="D35" i="1"/>
  <c r="D141" i="1"/>
  <c r="E135" i="1"/>
  <c r="D41" i="1"/>
  <c r="D43" i="1" s="1"/>
  <c r="E144" i="1"/>
  <c r="D198" i="1"/>
  <c r="D200" i="1" s="1"/>
  <c r="D44" i="1" l="1"/>
  <c r="D206" i="1"/>
  <c r="D203" i="1"/>
  <c r="D205" i="1"/>
  <c r="D202" i="1"/>
  <c r="D204" i="1"/>
  <c r="E170" i="1" l="1"/>
  <c r="D207" i="1"/>
  <c r="D209" i="1" s="1"/>
  <c r="D211" i="1" s="1"/>
  <c r="D157" i="1" l="1"/>
  <c r="D158" i="1" s="1"/>
  <c r="D152" i="1"/>
  <c r="D153" i="1" s="1"/>
  <c r="D162" i="1"/>
  <c r="D163" i="1" s="1"/>
  <c r="E146" i="1"/>
  <c r="E41" i="1" s="1"/>
  <c r="E43" i="1" s="1"/>
  <c r="E160" i="1"/>
  <c r="E155" i="1" s="1"/>
  <c r="E150" i="1" s="1"/>
  <c r="E175" i="1" s="1"/>
  <c r="E194" i="1"/>
  <c r="E198" i="1" s="1"/>
  <c r="E200" i="1" s="1"/>
  <c r="E139" i="1"/>
  <c r="E35" i="1" l="1"/>
  <c r="E44" i="1" s="1"/>
  <c r="E141" i="1"/>
  <c r="D176" i="1"/>
  <c r="D147" i="1" s="1"/>
  <c r="D148" i="1" s="1"/>
  <c r="E202" i="1"/>
  <c r="E204" i="1"/>
  <c r="E206" i="1"/>
  <c r="E203" i="1"/>
  <c r="E205" i="1"/>
  <c r="E195" i="1"/>
  <c r="E196" i="1" s="1"/>
  <c r="E207" i="1" l="1"/>
  <c r="E209" i="1" s="1"/>
  <c r="E211" i="1" s="1"/>
  <c r="E152" i="1" l="1"/>
  <c r="E153" i="1" s="1"/>
  <c r="E162" i="1"/>
  <c r="E163" i="1" s="1"/>
  <c r="E157" i="1"/>
  <c r="E158" i="1" s="1"/>
  <c r="E176" i="1" l="1"/>
  <c r="E147" i="1" s="1"/>
  <c r="E148" i="1" s="1"/>
  <c r="F16" i="1"/>
  <c r="F34" i="1"/>
  <c r="F37" i="1"/>
  <c r="F42" i="1"/>
  <c r="F44" i="1"/>
  <c r="F148" i="1"/>
  <c r="D16" i="2"/>
  <c r="E16" i="2"/>
  <c r="D17" i="2"/>
  <c r="E17" i="2"/>
  <c r="D18" i="2"/>
  <c r="E18" i="2"/>
  <c r="D22" i="2"/>
  <c r="E22" i="2"/>
  <c r="D24" i="2"/>
  <c r="E24" i="2"/>
  <c r="D25" i="2"/>
  <c r="E25" i="2"/>
  <c r="D34" i="2"/>
  <c r="E34" i="2"/>
  <c r="D35" i="2"/>
  <c r="E35" i="2"/>
  <c r="D37" i="2"/>
  <c r="E37" i="2"/>
  <c r="D41" i="2"/>
  <c r="E41" i="2"/>
  <c r="D42" i="2"/>
  <c r="E42" i="2"/>
  <c r="D43" i="2"/>
  <c r="E43" i="2"/>
  <c r="D44" i="2"/>
  <c r="E44" i="2"/>
  <c r="D115" i="2"/>
  <c r="E115" i="2"/>
  <c r="D116" i="2"/>
  <c r="E116" i="2"/>
  <c r="D117" i="2"/>
  <c r="E117" i="2"/>
  <c r="D130" i="2"/>
  <c r="E130" i="2"/>
  <c r="E133" i="2"/>
  <c r="D134" i="2"/>
  <c r="E134" i="2"/>
  <c r="D135" i="2"/>
  <c r="E135" i="2"/>
  <c r="D137" i="2"/>
  <c r="E137" i="2"/>
  <c r="D138" i="2"/>
  <c r="E138" i="2"/>
  <c r="D139" i="2"/>
  <c r="E139" i="2"/>
  <c r="D141" i="2"/>
  <c r="E141" i="2"/>
  <c r="E144" i="2"/>
  <c r="D145" i="2"/>
  <c r="E145" i="2"/>
  <c r="D146" i="2"/>
  <c r="E146" i="2"/>
  <c r="D147" i="2"/>
  <c r="E147" i="2"/>
  <c r="D148" i="2"/>
  <c r="E148" i="2"/>
  <c r="D150" i="2"/>
  <c r="E150" i="2"/>
  <c r="D152" i="2"/>
  <c r="E152" i="2"/>
  <c r="D153" i="2"/>
  <c r="E153" i="2"/>
  <c r="D155" i="2"/>
  <c r="E155" i="2"/>
  <c r="D157" i="2"/>
  <c r="E157" i="2"/>
  <c r="D158" i="2"/>
  <c r="E158" i="2"/>
  <c r="D160" i="2"/>
  <c r="E160" i="2"/>
  <c r="D162" i="2"/>
  <c r="E162" i="2"/>
  <c r="D163" i="2"/>
  <c r="E163" i="2"/>
  <c r="D165" i="2"/>
  <c r="E165" i="2"/>
  <c r="E170" i="2"/>
  <c r="D175" i="2"/>
  <c r="E175" i="2"/>
  <c r="D176" i="2"/>
  <c r="E176" i="2"/>
  <c r="D194" i="2"/>
  <c r="E194" i="2"/>
  <c r="D195" i="2"/>
  <c r="E195" i="2"/>
  <c r="D196" i="2"/>
  <c r="E196" i="2"/>
  <c r="D198" i="2"/>
  <c r="E198" i="2"/>
  <c r="D200" i="2"/>
  <c r="E200" i="2"/>
  <c r="D202" i="2"/>
  <c r="E202" i="2"/>
  <c r="D203" i="2"/>
  <c r="E203" i="2"/>
  <c r="D204" i="2"/>
  <c r="E204" i="2"/>
  <c r="D205" i="2"/>
  <c r="E205" i="2"/>
  <c r="D206" i="2"/>
  <c r="E206" i="2"/>
  <c r="D207" i="2"/>
  <c r="E207" i="2"/>
  <c r="D209" i="2"/>
  <c r="E209" i="2"/>
  <c r="D211" i="2"/>
  <c r="E211" i="2"/>
</calcChain>
</file>

<file path=xl/sharedStrings.xml><?xml version="1.0" encoding="utf-8"?>
<sst xmlns="http://schemas.openxmlformats.org/spreadsheetml/2006/main" count="584" uniqueCount="181">
  <si>
    <t>Max Capped EURIBOR Rate</t>
  </si>
  <si>
    <t>Total Capped</t>
  </si>
  <si>
    <t>Cap expiring - Oct 20, 2014</t>
  </si>
  <si>
    <t>Cap expiring - Dec 20, 2012</t>
  </si>
  <si>
    <t>Max Capped Rate</t>
  </si>
  <si>
    <t>2012E</t>
  </si>
  <si>
    <t>2011E</t>
  </si>
  <si>
    <t>2010A</t>
  </si>
  <si>
    <t>Caps</t>
  </si>
  <si>
    <t>EURIBOR Swap Rate</t>
  </si>
  <si>
    <t>Total Swapped</t>
  </si>
  <si>
    <t>Swap expiring - Jul 20, 2015</t>
  </si>
  <si>
    <t>Swap expiring - Oct 20, 2015</t>
  </si>
  <si>
    <t>Swap expiring - Dec 31, 2014</t>
  </si>
  <si>
    <t>Swap expiring - Jul 10, 2013</t>
  </si>
  <si>
    <t>Swap Interest Rate</t>
  </si>
  <si>
    <t>Swaps</t>
  </si>
  <si>
    <t>Average Loan Margin</t>
  </si>
  <si>
    <t>Non-recourse loan margins above 3M-EURIBOR</t>
  </si>
  <si>
    <t>Syndicated Loan Margin above 3M-EURIBOR</t>
  </si>
  <si>
    <t>Syn Loan Margin</t>
  </si>
  <si>
    <t>Syn Loan Margin if LTV below 51%</t>
  </si>
  <si>
    <t>Syn Loan Margin if LTV 51-56%</t>
  </si>
  <si>
    <t>Syn Loan Margin if LTV 56-61%</t>
  </si>
  <si>
    <t>Syn Loan Margin if LTV 61-65%</t>
  </si>
  <si>
    <t>Syn Loan Margin if LTV above 65%</t>
  </si>
  <si>
    <t>Interest Rate</t>
  </si>
  <si>
    <t>Min LTV</t>
  </si>
  <si>
    <t>Max LTV</t>
  </si>
  <si>
    <t>LTV on Syn Loan</t>
  </si>
  <si>
    <t>Assets attributable to Syn Loan</t>
  </si>
  <si>
    <t>Syndicated Loan Amount</t>
  </si>
  <si>
    <t>Total Existing Debt</t>
  </si>
  <si>
    <t>Non-recourse Loans</t>
  </si>
  <si>
    <t>Syndicated Loan</t>
  </si>
  <si>
    <t>Average</t>
  </si>
  <si>
    <t>Dec 2012</t>
  </si>
  <si>
    <t>NA</t>
  </si>
  <si>
    <t>Nov 2012</t>
  </si>
  <si>
    <t>Oct 2012</t>
  </si>
  <si>
    <t>Sep 2012</t>
  </si>
  <si>
    <t>Aug 2012</t>
  </si>
  <si>
    <t>Jul 2012</t>
  </si>
  <si>
    <t>Jun 2012</t>
  </si>
  <si>
    <t>May 2012</t>
  </si>
  <si>
    <t>Apr 2012</t>
  </si>
  <si>
    <t>Mar 2012</t>
  </si>
  <si>
    <t>Feb 2012</t>
  </si>
  <si>
    <t>Jan 2012</t>
  </si>
  <si>
    <t>3M EURIBOR Rate Monthly</t>
  </si>
  <si>
    <t>Interest Rate Schedule</t>
  </si>
  <si>
    <t>Average Interest Rate</t>
  </si>
  <si>
    <t>Total Debt</t>
  </si>
  <si>
    <t>Average Interest Rate on Floating Debt</t>
  </si>
  <si>
    <t>EURIBOR</t>
  </si>
  <si>
    <t>New Debt 2012</t>
  </si>
  <si>
    <t>New Debt 2011</t>
  </si>
  <si>
    <t>o/w Floating Debt</t>
  </si>
  <si>
    <t>Average Interest Rate on Capped Debt</t>
  </si>
  <si>
    <t>Smaller of EURIBOR or Capped Rate</t>
  </si>
  <si>
    <t>o/w Capped Debt</t>
  </si>
  <si>
    <t>Average Interest Rate on Swapped Debt</t>
  </si>
  <si>
    <t>EURIBOR Swapped Rate</t>
  </si>
  <si>
    <t>of which Swapped Debt</t>
  </si>
  <si>
    <t>Interest Expense</t>
  </si>
  <si>
    <t>Debt - End of Period</t>
  </si>
  <si>
    <t>Additions / (Reductions)</t>
  </si>
  <si>
    <t>Debt - Beginning of Period</t>
  </si>
  <si>
    <t>Debt Schedule</t>
  </si>
  <si>
    <t>Interest Income</t>
  </si>
  <si>
    <t>Interest Rate on Cash</t>
  </si>
  <si>
    <t>Use Excess Cash for Debt Paydown (1 = Yes, 0 = No)</t>
  </si>
  <si>
    <t>Cash - End of Period</t>
  </si>
  <si>
    <t>Cash Used for Debt Paydown</t>
  </si>
  <si>
    <t>Excess Cash Switch</t>
  </si>
  <si>
    <t>Cash Raised from New Debt Issuance</t>
  </si>
  <si>
    <t>Minimum Cash Balance</t>
  </si>
  <si>
    <t>Excess Cash / (Cash Shortfall)</t>
  </si>
  <si>
    <t>Additions / (Reductions) from Operations and B/S Changes</t>
  </si>
  <si>
    <t>Cash - Beginning of Period</t>
  </si>
  <si>
    <t>Cash Schedule</t>
  </si>
  <si>
    <t>Operating CF after DIVs &amp; B/S Changes</t>
  </si>
  <si>
    <t>Cash Flow from B/S Changes</t>
  </si>
  <si>
    <t>Change in Trade Payables</t>
  </si>
  <si>
    <t>Change in Other Provisions &amp; Liabilties</t>
  </si>
  <si>
    <t>Change in Derivatives &amp; Profit Participation Rights</t>
  </si>
  <si>
    <t>Change in Receivables</t>
  </si>
  <si>
    <t>Change in Intangibles, Derivatives and Financial Assets</t>
  </si>
  <si>
    <t>Change in PP&amp;E</t>
  </si>
  <si>
    <t>Change in Equity Investments</t>
  </si>
  <si>
    <t>Change in IP</t>
  </si>
  <si>
    <t>CFs from B/S Changes</t>
  </si>
  <si>
    <t>Operating CF after Dividends</t>
  </si>
  <si>
    <t>Dividend Distributions</t>
  </si>
  <si>
    <t>FFO</t>
  </si>
  <si>
    <t>Cash Flow Statement</t>
  </si>
  <si>
    <t>Days Other Liabilities Outstanding</t>
  </si>
  <si>
    <t>Operating Expenses</t>
  </si>
  <si>
    <t>Other Provisions &amp; Liabilities</t>
  </si>
  <si>
    <t>Days Payables Outstanding (DPO)</t>
  </si>
  <si>
    <t>Trade Payables</t>
  </si>
  <si>
    <t>Days Sales Outstanding (DSO)</t>
  </si>
  <si>
    <t>Total Rental Income</t>
  </si>
  <si>
    <t>Receivables</t>
  </si>
  <si>
    <t>Other Assets and Liabilities</t>
  </si>
  <si>
    <t>Total D&amp;A</t>
  </si>
  <si>
    <t>NM</t>
  </si>
  <si>
    <t>D&amp;A from 2012E PP&amp;E Additions</t>
  </si>
  <si>
    <t>D&amp;A from 2011E PP&amp;E Additions</t>
  </si>
  <si>
    <t>D&amp;A from existing PP&amp;E</t>
  </si>
  <si>
    <t>Depreciation Period (yrs)</t>
  </si>
  <si>
    <t>% PP&amp;E Additions of CAPEX</t>
  </si>
  <si>
    <t>CAPEX</t>
  </si>
  <si>
    <t>PP&amp;E Additions</t>
  </si>
  <si>
    <t>PP&amp;E - Ending Balance</t>
  </si>
  <si>
    <t>D&amp;A</t>
  </si>
  <si>
    <t>PP&amp;E - Beginning Balance</t>
  </si>
  <si>
    <t>PP&amp;E</t>
  </si>
  <si>
    <t>JV Interest Rate</t>
  </si>
  <si>
    <t>JV Debt (pro-rata)</t>
  </si>
  <si>
    <t>JV FFO</t>
  </si>
  <si>
    <t>JV Cash Taxes (pro-rata)</t>
  </si>
  <si>
    <t>JV Interest Expense (pro-rata)</t>
  </si>
  <si>
    <t>JV EBITDA</t>
  </si>
  <si>
    <t>JV EBITDA Margin</t>
  </si>
  <si>
    <t>JV Rental Income (pro-rata)</t>
  </si>
  <si>
    <t>2009A</t>
  </si>
  <si>
    <t>JV Investments and Income</t>
  </si>
  <si>
    <t>Ending Balance</t>
  </si>
  <si>
    <t>Acquisitions, net of Sales</t>
  </si>
  <si>
    <t>Beginning Balance</t>
  </si>
  <si>
    <t>Investment Property</t>
  </si>
  <si>
    <t>BALANCE SHEET DRIVERS</t>
  </si>
  <si>
    <t>Rental Income - External</t>
  </si>
  <si>
    <t>Rent lost from Sales, per year</t>
  </si>
  <si>
    <t>Rent lost from 2012E  Sales (mid-year)</t>
  </si>
  <si>
    <t>Rent lost from 2011E  Sales (mid-year)</t>
  </si>
  <si>
    <t>Rental Income Lost, total per sale</t>
  </si>
  <si>
    <t>Sales Yield (gross)</t>
  </si>
  <si>
    <t>Sales Volume</t>
  </si>
  <si>
    <t>New Rent from Acquisitions, per year</t>
  </si>
  <si>
    <t>New Rent from 2012E  Acquisitions (mid-year)</t>
  </si>
  <si>
    <t>New Rent from 2011E  Acquisitions (mid-year)</t>
  </si>
  <si>
    <t>Rental Income Gained, total per acquisition</t>
  </si>
  <si>
    <t>Acquisition Yield (gross)</t>
  </si>
  <si>
    <t>Acquisition Volume</t>
  </si>
  <si>
    <t>Balance Check</t>
  </si>
  <si>
    <t>Total Liabilities &amp; Equity</t>
  </si>
  <si>
    <t>Equity</t>
  </si>
  <si>
    <t>Total Liabilities</t>
  </si>
  <si>
    <t>Other Provisions &amp; Liabilties</t>
  </si>
  <si>
    <t>Derivatives &amp; Profit Participation Rights</t>
  </si>
  <si>
    <t>Debt</t>
  </si>
  <si>
    <t>Total Assets</t>
  </si>
  <si>
    <t>Cash</t>
  </si>
  <si>
    <t>Intangibles, Derivatives and Financial Assets</t>
  </si>
  <si>
    <t>Equity Investments (JVs)</t>
  </si>
  <si>
    <t>Alstria Model Balance Sheet</t>
  </si>
  <si>
    <t>Payout Ratio</t>
  </si>
  <si>
    <t>Dividends</t>
  </si>
  <si>
    <t>FFO per Share</t>
  </si>
  <si>
    <t>Shares Outstanding (average)</t>
  </si>
  <si>
    <t>Add back: D&amp;A</t>
  </si>
  <si>
    <t>JV Income &amp; Other</t>
  </si>
  <si>
    <t>Tax Rate</t>
  </si>
  <si>
    <t>Cash Taxes</t>
  </si>
  <si>
    <t>PBT</t>
  </si>
  <si>
    <t>Cash Interest Expense, net</t>
  </si>
  <si>
    <t>EBIT</t>
  </si>
  <si>
    <t>EBITDA Margin</t>
  </si>
  <si>
    <t>EBITDA</t>
  </si>
  <si>
    <t>Other Expenses &amp; Income, net</t>
  </si>
  <si>
    <t>Corporate Expense</t>
  </si>
  <si>
    <t>NOI Margin</t>
  </si>
  <si>
    <t>NOI</t>
  </si>
  <si>
    <t>Organic rental growth</t>
  </si>
  <si>
    <t>Rental Income - Organic</t>
  </si>
  <si>
    <t>Alstria Model Income Statement</t>
  </si>
  <si>
    <t>** Unhide "Full Model - Complete" to compare your results by pressing: ALT + H + O + U + H + Enter</t>
  </si>
  <si>
    <r>
      <t xml:space="preserve">INTEREST RATE PROJECTION. </t>
    </r>
    <r>
      <rPr>
        <sz val="11"/>
        <color theme="1"/>
        <rFont val="Calibri"/>
        <family val="2"/>
      </rPr>
      <t>The interested analyst is encouraged to unhide and study the detailed interest rate derivation.</t>
    </r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</si>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</sst>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(#,##0\);&quot;  -   &quot;"/>
    <numFmt numFmtId="165" formatCode="0.0%"/>
    <numFmt numFmtId="166" formatCode="#,###;\(#,###\);&quot;   -   &quot;"/>
    <numFmt numFmtId="167" formatCode="#,##0.0;\(#,##0.0\);&quot;  -   &quot;"/>
    <numFmt numFmtId="168" formatCode="0.000"/>
    <numFmt numFmtId="169" formatCode="\€##,##0.00;\(\€##,##0.00\);&quot;   -   &quot;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3333FF"/>
      <name val="Calibri"/>
      <family val="2"/>
      <scheme val="minor"/>
    </font>
    <font>
      <sz val="11"/>
      <color rgb="FF3333FF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3333FF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5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applyNumberFormat="1" applyFont="1"/>
    <xf numFmtId="10" fontId="2" fillId="0" borderId="0" xfId="0" applyNumberFormat="1" applyFont="1"/>
    <xf numFmtId="10" fontId="3" fillId="0" borderId="0" xfId="0" applyNumberFormat="1" applyFont="1" applyBorder="1"/>
    <xf numFmtId="10" fontId="3" fillId="0" borderId="1" xfId="0" applyNumberFormat="1" applyFont="1" applyBorder="1"/>
    <xf numFmtId="164" fontId="1" fillId="0" borderId="1" xfId="0" applyNumberFormat="1" applyFont="1" applyBorder="1"/>
    <xf numFmtId="164" fontId="4" fillId="2" borderId="1" xfId="0" applyNumberFormat="1" applyFont="1" applyFill="1" applyBorder="1"/>
    <xf numFmtId="10" fontId="3" fillId="0" borderId="0" xfId="0" applyNumberFormat="1" applyFont="1"/>
    <xf numFmtId="164" fontId="4" fillId="2" borderId="0" xfId="0" applyNumberFormat="1" applyFont="1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/>
    <xf numFmtId="10" fontId="5" fillId="0" borderId="0" xfId="0" applyNumberFormat="1" applyFont="1"/>
    <xf numFmtId="10" fontId="2" fillId="0" borderId="0" xfId="0" applyNumberFormat="1" applyFont="1" applyBorder="1"/>
    <xf numFmtId="10" fontId="2" fillId="0" borderId="1" xfId="0" applyNumberFormat="1" applyFont="1" applyBorder="1"/>
    <xf numFmtId="10" fontId="4" fillId="0" borderId="0" xfId="0" applyNumberFormat="1" applyFont="1"/>
    <xf numFmtId="165" fontId="4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10" fontId="1" fillId="0" borderId="0" xfId="0" applyNumberFormat="1" applyFont="1"/>
    <xf numFmtId="0" fontId="1" fillId="0" borderId="0" xfId="0" applyFont="1" applyBorder="1" applyAlignment="1">
      <alignment horizontal="right"/>
    </xf>
    <xf numFmtId="0" fontId="0" fillId="0" borderId="0" xfId="0" applyBorder="1"/>
    <xf numFmtId="49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/>
    <xf numFmtId="10" fontId="5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0" fontId="6" fillId="0" borderId="0" xfId="0" applyFont="1" applyBorder="1" applyAlignment="1"/>
    <xf numFmtId="0" fontId="0" fillId="0" borderId="1" xfId="0" applyBorder="1"/>
    <xf numFmtId="0" fontId="7" fillId="0" borderId="1" xfId="0" applyFont="1" applyBorder="1" applyAlignment="1"/>
    <xf numFmtId="0" fontId="8" fillId="0" borderId="0" xfId="0" applyFont="1" applyBorder="1" applyAlignment="1">
      <alignment horizontal="right"/>
    </xf>
    <xf numFmtId="164" fontId="9" fillId="0" borderId="0" xfId="0" applyNumberFormat="1" applyFont="1"/>
    <xf numFmtId="164" fontId="10" fillId="0" borderId="0" xfId="0" applyNumberFormat="1" applyFont="1"/>
    <xf numFmtId="165" fontId="5" fillId="0" borderId="0" xfId="0" applyNumberFormat="1" applyFont="1"/>
    <xf numFmtId="166" fontId="9" fillId="0" borderId="0" xfId="0" applyNumberFormat="1" applyFont="1" applyBorder="1"/>
    <xf numFmtId="166" fontId="9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horizontal="right"/>
    </xf>
    <xf numFmtId="10" fontId="10" fillId="0" borderId="0" xfId="0" applyNumberFormat="1" applyFont="1" applyBorder="1"/>
    <xf numFmtId="10" fontId="9" fillId="0" borderId="1" xfId="0" applyNumberFormat="1" applyFont="1" applyBorder="1"/>
    <xf numFmtId="164" fontId="9" fillId="0" borderId="1" xfId="0" applyNumberFormat="1" applyFont="1" applyBorder="1"/>
    <xf numFmtId="0" fontId="11" fillId="0" borderId="0" xfId="0" applyFont="1"/>
    <xf numFmtId="0" fontId="4" fillId="3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6" fontId="9" fillId="0" borderId="0" xfId="0" applyNumberFormat="1" applyFont="1"/>
    <xf numFmtId="0" fontId="9" fillId="0" borderId="0" xfId="0" applyFont="1" applyBorder="1"/>
    <xf numFmtId="164" fontId="3" fillId="2" borderId="0" xfId="0" applyNumberFormat="1" applyFont="1" applyFill="1" applyBorder="1"/>
    <xf numFmtId="0" fontId="2" fillId="0" borderId="0" xfId="0" applyFont="1" applyAlignment="1"/>
    <xf numFmtId="0" fontId="1" fillId="0" borderId="0" xfId="0" applyFont="1" applyBorder="1"/>
    <xf numFmtId="166" fontId="9" fillId="2" borderId="0" xfId="0" applyNumberFormat="1" applyFont="1" applyFill="1"/>
    <xf numFmtId="0" fontId="10" fillId="0" borderId="0" xfId="0" applyFont="1"/>
    <xf numFmtId="0" fontId="10" fillId="2" borderId="0" xfId="0" applyFont="1" applyFill="1"/>
    <xf numFmtId="164" fontId="9" fillId="2" borderId="0" xfId="0" applyNumberFormat="1" applyFont="1" applyFill="1"/>
    <xf numFmtId="164" fontId="9" fillId="0" borderId="0" xfId="0" applyNumberFormat="1" applyFont="1" applyBorder="1"/>
    <xf numFmtId="164" fontId="9" fillId="2" borderId="1" xfId="0" applyNumberFormat="1" applyFont="1" applyFill="1" applyBorder="1"/>
    <xf numFmtId="0" fontId="13" fillId="0" borderId="0" xfId="0" applyFont="1" applyAlignment="1"/>
    <xf numFmtId="166" fontId="10" fillId="0" borderId="0" xfId="0" applyNumberFormat="1" applyFont="1"/>
    <xf numFmtId="167" fontId="2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164" fontId="9" fillId="0" borderId="0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4" fontId="14" fillId="2" borderId="0" xfId="0" applyNumberFormat="1" applyFont="1" applyFill="1" applyBorder="1"/>
    <xf numFmtId="165" fontId="2" fillId="0" borderId="0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165" fontId="4" fillId="0" borderId="0" xfId="0" applyNumberFormat="1" applyFont="1" applyBorder="1"/>
    <xf numFmtId="165" fontId="4" fillId="0" borderId="1" xfId="0" applyNumberFormat="1" applyFont="1" applyBorder="1"/>
    <xf numFmtId="168" fontId="1" fillId="0" borderId="0" xfId="0" applyNumberFormat="1" applyFont="1"/>
    <xf numFmtId="166" fontId="4" fillId="0" borderId="0" xfId="0" applyNumberFormat="1" applyFont="1" applyBorder="1"/>
    <xf numFmtId="164" fontId="9" fillId="2" borderId="0" xfId="0" applyNumberFormat="1" applyFont="1" applyFill="1" applyBorder="1"/>
    <xf numFmtId="166" fontId="4" fillId="0" borderId="1" xfId="0" applyNumberFormat="1" applyFont="1" applyBorder="1"/>
    <xf numFmtId="166" fontId="1" fillId="0" borderId="0" xfId="0" applyNumberFormat="1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Alignment="1"/>
    <xf numFmtId="166" fontId="7" fillId="0" borderId="0" xfId="0" applyNumberFormat="1" applyFont="1"/>
    <xf numFmtId="0" fontId="17" fillId="0" borderId="0" xfId="0" applyFont="1" applyAlignment="1">
      <alignment horizontal="right"/>
    </xf>
    <xf numFmtId="0" fontId="7" fillId="0" borderId="0" xfId="0" applyFont="1" applyAlignment="1"/>
    <xf numFmtId="10" fontId="18" fillId="0" borderId="0" xfId="0" applyNumberFormat="1" applyFont="1" applyBorder="1"/>
    <xf numFmtId="10" fontId="4" fillId="0" borderId="1" xfId="0" applyNumberFormat="1" applyFont="1" applyBorder="1"/>
    <xf numFmtId="166" fontId="18" fillId="0" borderId="0" xfId="0" applyNumberFormat="1" applyFont="1"/>
    <xf numFmtId="166" fontId="4" fillId="0" borderId="0" xfId="0" applyNumberFormat="1" applyFont="1"/>
    <xf numFmtId="164" fontId="1" fillId="2" borderId="0" xfId="0" applyNumberFormat="1" applyFont="1" applyFill="1" applyBorder="1"/>
    <xf numFmtId="164" fontId="14" fillId="2" borderId="1" xfId="0" applyNumberFormat="1" applyFont="1" applyFill="1" applyBorder="1"/>
    <xf numFmtId="164" fontId="1" fillId="2" borderId="0" xfId="0" applyNumberFormat="1" applyFont="1" applyFill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/>
    <xf numFmtId="9" fontId="2" fillId="0" borderId="0" xfId="0" applyNumberFormat="1" applyFont="1"/>
    <xf numFmtId="169" fontId="1" fillId="0" borderId="0" xfId="0" applyNumberFormat="1" applyFont="1"/>
    <xf numFmtId="169" fontId="4" fillId="0" borderId="0" xfId="0" applyNumberFormat="1" applyFont="1"/>
    <xf numFmtId="166" fontId="1" fillId="0" borderId="1" xfId="0" applyNumberFormat="1" applyFont="1" applyBorder="1"/>
    <xf numFmtId="165" fontId="2" fillId="0" borderId="0" xfId="0" applyNumberFormat="1" applyFont="1"/>
    <xf numFmtId="166" fontId="18" fillId="0" borderId="0" xfId="0" applyNumberFormat="1" applyFont="1" applyBorder="1"/>
    <xf numFmtId="166" fontId="18" fillId="0" borderId="1" xfId="0" applyNumberFormat="1" applyFont="1" applyBorder="1"/>
    <xf numFmtId="0" fontId="1" fillId="0" borderId="0" xfId="0" applyFont="1" applyFill="1" applyBorder="1" applyAlignment="1"/>
    <xf numFmtId="166" fontId="19" fillId="0" borderId="1" xfId="0" applyNumberFormat="1" applyFont="1" applyBorder="1" applyAlignment="1">
      <alignment horizontal="right"/>
    </xf>
    <xf numFmtId="165" fontId="19" fillId="0" borderId="0" xfId="0" applyNumberFormat="1" applyFont="1"/>
    <xf numFmtId="165" fontId="3" fillId="0" borderId="0" xfId="0" applyNumberFormat="1" applyFont="1"/>
    <xf numFmtId="166" fontId="19" fillId="0" borderId="0" xfId="0" applyNumberFormat="1" applyFont="1" applyAlignment="1">
      <alignment horizontal="right"/>
    </xf>
    <xf numFmtId="0" fontId="2" fillId="0" borderId="0" xfId="0" applyFont="1" applyBorder="1" applyAlignment="1"/>
    <xf numFmtId="0" fontId="20" fillId="0" borderId="0" xfId="0" applyFont="1" applyAlignment="1"/>
    <xf numFmtId="0" fontId="21" fillId="0" borderId="0" xfId="0" applyFont="1" applyAlignment="1"/>
    <xf numFmtId="166" fontId="18" fillId="4" borderId="1" xfId="0" applyNumberFormat="1" applyFont="1" applyFill="1" applyBorder="1"/>
    <xf numFmtId="0" fontId="2" fillId="0" borderId="0" xfId="0" applyFont="1"/>
    <xf numFmtId="164" fontId="9" fillId="5" borderId="1" xfId="0" applyNumberFormat="1" applyFont="1" applyFill="1" applyBorder="1"/>
    <xf numFmtId="164" fontId="9" fillId="5" borderId="0" xfId="0" applyNumberFormat="1" applyFont="1" applyFill="1"/>
    <xf numFmtId="166" fontId="9" fillId="5" borderId="0" xfId="0" applyNumberFormat="1" applyFont="1" applyFill="1"/>
    <xf numFmtId="166" fontId="9" fillId="5" borderId="1" xfId="0" applyNumberFormat="1" applyFont="1" applyFill="1" applyBorder="1"/>
    <xf numFmtId="0" fontId="7" fillId="0" borderId="0" xfId="0" applyFont="1"/>
    <xf numFmtId="164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8"/>
  <sheetViews>
    <sheetView showGridLines="0" topLeftCell="A139" workbookViewId="0">
      <selection activeCell="A162" sqref="A162"/>
    </sheetView>
  </sheetViews>
  <sheetFormatPr defaultColWidth="9.1796875" defaultRowHeight="14.5" x14ac:dyDescent="0.35"/>
  <cols>
    <col min="1" max="1" width="42.54296875" style="2" customWidth="1"/>
    <col min="2" max="5" width="11.7265625" style="1" customWidth="1"/>
    <col min="6" max="6" width="1.7265625" style="1" customWidth="1"/>
    <col min="7" max="9" width="20.7265625" style="1" customWidth="1"/>
    <col min="10" max="16384" width="9.1796875" style="1"/>
  </cols>
  <sheetData>
    <row r="2" spans="1:12" ht="20.149999999999999" customHeight="1" x14ac:dyDescent="0.35">
      <c r="A2" s="13" t="s">
        <v>177</v>
      </c>
      <c r="B2" s="11" t="s">
        <v>126</v>
      </c>
      <c r="C2" s="11" t="s">
        <v>7</v>
      </c>
      <c r="D2" s="11" t="s">
        <v>6</v>
      </c>
      <c r="E2" s="11" t="s">
        <v>5</v>
      </c>
      <c r="F2" s="22"/>
      <c r="H2"/>
      <c r="I2"/>
    </row>
    <row r="3" spans="1:12" ht="12.75" customHeight="1" x14ac:dyDescent="0.35">
      <c r="A3" s="63" t="s">
        <v>176</v>
      </c>
      <c r="B3" s="93">
        <v>102510</v>
      </c>
      <c r="C3" s="93">
        <v>89094</v>
      </c>
      <c r="D3" s="47">
        <f>C6*(1+D4)</f>
        <v>90875.88</v>
      </c>
      <c r="E3" s="47">
        <f>D6*(1+E4)</f>
        <v>94733.397600000011</v>
      </c>
      <c r="F3" s="47"/>
      <c r="H3"/>
      <c r="I3"/>
      <c r="K3"/>
      <c r="L3"/>
    </row>
    <row r="4" spans="1:12" ht="12.75" customHeight="1" x14ac:dyDescent="0.35">
      <c r="A4" s="111" t="s">
        <v>175</v>
      </c>
      <c r="B4" s="110" t="s">
        <v>106</v>
      </c>
      <c r="C4" s="35">
        <f>C3/B3-1</f>
        <v>-0.13087503658179689</v>
      </c>
      <c r="D4" s="109">
        <v>0.02</v>
      </c>
      <c r="E4" s="109">
        <v>0.02</v>
      </c>
      <c r="F4" s="108"/>
      <c r="H4"/>
      <c r="I4"/>
      <c r="K4"/>
      <c r="L4"/>
    </row>
    <row r="5" spans="1:12" ht="12.75" customHeight="1" x14ac:dyDescent="0.35">
      <c r="A5" s="106" t="s">
        <v>133</v>
      </c>
      <c r="B5" s="107" t="s">
        <v>106</v>
      </c>
      <c r="C5" s="107" t="s">
        <v>106</v>
      </c>
      <c r="D5" s="37">
        <f>D62</f>
        <v>2000</v>
      </c>
      <c r="E5" s="37">
        <f>E62</f>
        <v>4000</v>
      </c>
      <c r="F5" s="36"/>
      <c r="H5"/>
      <c r="I5"/>
      <c r="K5"/>
      <c r="L5"/>
    </row>
    <row r="6" spans="1:12" ht="12.75" customHeight="1" x14ac:dyDescent="0.35">
      <c r="A6" s="106" t="s">
        <v>102</v>
      </c>
      <c r="B6" s="36">
        <f>SUM(B3,B5)</f>
        <v>102510</v>
      </c>
      <c r="C6" s="36">
        <f>SUM(C3,C5)</f>
        <v>89094</v>
      </c>
      <c r="D6" s="36">
        <f>SUM(D3,D5)</f>
        <v>92875.88</v>
      </c>
      <c r="E6" s="36">
        <f>SUM(E3,E5)</f>
        <v>98733.397600000011</v>
      </c>
      <c r="F6" s="36"/>
      <c r="H6"/>
      <c r="I6"/>
      <c r="K6"/>
      <c r="L6"/>
    </row>
    <row r="7" spans="1:12" ht="12.75" customHeight="1" x14ac:dyDescent="0.35">
      <c r="A7" s="2" t="s">
        <v>97</v>
      </c>
      <c r="B7" s="105">
        <f>-358-(10189-114)</f>
        <v>-10433</v>
      </c>
      <c r="C7" s="105">
        <f>-442-(6893-85)</f>
        <v>-7250</v>
      </c>
      <c r="D7" s="37">
        <f>-(1-D9)*D6</f>
        <v>-7325.5597556311322</v>
      </c>
      <c r="E7" s="37">
        <f>-(1-E9)*E6</f>
        <v>-7540.7363680060234</v>
      </c>
      <c r="F7" s="36"/>
      <c r="H7"/>
      <c r="I7"/>
      <c r="K7"/>
      <c r="L7"/>
    </row>
    <row r="8" spans="1:12" ht="12.75" customHeight="1" x14ac:dyDescent="0.35">
      <c r="A8" s="2" t="s">
        <v>174</v>
      </c>
      <c r="B8" s="61">
        <f>SUM(B6:B7)</f>
        <v>92077</v>
      </c>
      <c r="C8" s="61">
        <f>SUM(C6:C7)</f>
        <v>81844</v>
      </c>
      <c r="D8" s="61">
        <f>SUM(D6:D7)</f>
        <v>85550.320244368879</v>
      </c>
      <c r="E8" s="61">
        <f>SUM(E6:E7)</f>
        <v>91192.661231993989</v>
      </c>
      <c r="F8" s="61"/>
      <c r="H8"/>
      <c r="I8"/>
      <c r="K8"/>
      <c r="L8"/>
    </row>
    <row r="9" spans="1:12" ht="12.75" customHeight="1" x14ac:dyDescent="0.35">
      <c r="A9" s="50" t="s">
        <v>173</v>
      </c>
      <c r="B9" s="103">
        <f>B8/B6</f>
        <v>0.89822456345722368</v>
      </c>
      <c r="C9" s="103">
        <f>C8/C6</f>
        <v>0.91862527218443446</v>
      </c>
      <c r="D9" s="103">
        <f>C9+0.25%</f>
        <v>0.92112527218443441</v>
      </c>
      <c r="E9" s="103">
        <f>D9+0.25%</f>
        <v>0.92362527218443435</v>
      </c>
      <c r="F9" s="103"/>
      <c r="G9" s="20"/>
      <c r="H9"/>
      <c r="I9"/>
      <c r="K9"/>
      <c r="L9"/>
    </row>
    <row r="10" spans="1:12" ht="12.75" customHeight="1" x14ac:dyDescent="0.35">
      <c r="A10" s="2" t="s">
        <v>172</v>
      </c>
      <c r="B10" s="93">
        <f>-(6187-359)-(4990-466)</f>
        <v>-10352</v>
      </c>
      <c r="C10" s="93">
        <f>-(6073-485)-(5597-830)</f>
        <v>-10355</v>
      </c>
      <c r="D10" s="47">
        <f>C10</f>
        <v>-10355</v>
      </c>
      <c r="E10" s="47">
        <f>D10</f>
        <v>-10355</v>
      </c>
      <c r="F10" s="47"/>
      <c r="H10"/>
      <c r="I10"/>
      <c r="K10"/>
      <c r="L10"/>
    </row>
    <row r="11" spans="1:12" ht="12.75" customHeight="1" x14ac:dyDescent="0.35">
      <c r="A11" s="2" t="s">
        <v>171</v>
      </c>
      <c r="B11" s="83">
        <f>(3124-323-1290-170)-(1866-311)-85887*0-25*0</f>
        <v>-214</v>
      </c>
      <c r="C11" s="83">
        <f>(2029-367)-(1619-868-472-181-91)-12804*0+9278*0</f>
        <v>1655</v>
      </c>
      <c r="D11" s="83">
        <v>0</v>
      </c>
      <c r="E11" s="83">
        <v>0</v>
      </c>
      <c r="F11" s="104"/>
      <c r="H11"/>
      <c r="I11"/>
      <c r="K11"/>
      <c r="L11"/>
    </row>
    <row r="12" spans="1:12" ht="12.75" customHeight="1" x14ac:dyDescent="0.35">
      <c r="A12" s="2" t="s">
        <v>170</v>
      </c>
      <c r="B12" s="61">
        <f>B8+B10+B11</f>
        <v>81511</v>
      </c>
      <c r="C12" s="61">
        <f>C8+C10+C11</f>
        <v>73144</v>
      </c>
      <c r="D12" s="61">
        <f>SUM(D8,D10,D11)</f>
        <v>75195.320244368879</v>
      </c>
      <c r="E12" s="61">
        <f>SUM(E8,E10,E11)</f>
        <v>80837.661231993989</v>
      </c>
      <c r="F12" s="61"/>
      <c r="H12"/>
      <c r="I12"/>
      <c r="K12"/>
      <c r="L12"/>
    </row>
    <row r="13" spans="1:12" ht="12.75" customHeight="1" x14ac:dyDescent="0.35">
      <c r="A13" s="50" t="s">
        <v>169</v>
      </c>
      <c r="B13" s="103">
        <f>B12/B6</f>
        <v>0.79515169251780315</v>
      </c>
      <c r="C13" s="103">
        <f>C12/C6</f>
        <v>0.82097559880575577</v>
      </c>
      <c r="D13" s="103">
        <f>D12/D6</f>
        <v>0.80963238511838465</v>
      </c>
      <c r="E13" s="103">
        <f>E12/E6</f>
        <v>0.81874687995132844</v>
      </c>
      <c r="F13"/>
      <c r="H13"/>
      <c r="I13"/>
      <c r="J13"/>
      <c r="K13"/>
      <c r="L13"/>
    </row>
    <row r="14" spans="1:12" ht="12.75" customHeight="1" x14ac:dyDescent="0.35">
      <c r="A14" s="2" t="s">
        <v>115</v>
      </c>
      <c r="B14" s="83">
        <f>-114-359</f>
        <v>-473</v>
      </c>
      <c r="C14" s="83">
        <f>-485-85</f>
        <v>-570</v>
      </c>
      <c r="D14" s="37">
        <f>D98</f>
        <v>-689.14763218248311</v>
      </c>
      <c r="E14" s="37">
        <f>E98</f>
        <v>-808.29526436496621</v>
      </c>
      <c r="F14"/>
      <c r="H14"/>
      <c r="I14"/>
      <c r="J14"/>
      <c r="K14"/>
      <c r="L14"/>
    </row>
    <row r="15" spans="1:12" ht="12.75" customHeight="1" x14ac:dyDescent="0.35">
      <c r="A15" s="2" t="s">
        <v>168</v>
      </c>
      <c r="B15" s="61">
        <f>SUM(B12,B14)</f>
        <v>81038</v>
      </c>
      <c r="C15" s="61">
        <f>SUM(C12,C14)</f>
        <v>72574</v>
      </c>
      <c r="D15" s="61">
        <f>SUM(D12,D14)</f>
        <v>74506.17261218639</v>
      </c>
      <c r="E15" s="61">
        <f>SUM(E12,E14)</f>
        <v>80029.365967629026</v>
      </c>
      <c r="F15" s="61"/>
      <c r="H15"/>
      <c r="I15"/>
      <c r="J15"/>
      <c r="K15"/>
      <c r="L15"/>
    </row>
    <row r="16" spans="1:12" ht="12.75" customHeight="1" x14ac:dyDescent="0.35">
      <c r="A16" s="2" t="s">
        <v>167</v>
      </c>
      <c r="B16" s="83">
        <v>-52117</v>
      </c>
      <c r="C16" s="83">
        <f>-43165+278</f>
        <v>-42887</v>
      </c>
      <c r="D16" s="37">
        <f ca="1">D141-D148</f>
        <v>-34522.642937886943</v>
      </c>
      <c r="E16" s="37">
        <f ca="1">E141-E148</f>
        <v>-34138.9434667756</v>
      </c>
      <c r="F16"/>
      <c r="G16"/>
      <c r="H16"/>
      <c r="I16"/>
      <c r="J16"/>
      <c r="K16"/>
      <c r="L16"/>
    </row>
    <row r="17" spans="1:14" ht="12.75" customHeight="1" x14ac:dyDescent="0.35">
      <c r="A17" s="2" t="s">
        <v>166</v>
      </c>
      <c r="B17" s="61">
        <f>SUM(B15:B16)</f>
        <v>28921</v>
      </c>
      <c r="C17" s="61">
        <f>SUM(C15:C16)</f>
        <v>29687</v>
      </c>
      <c r="D17" s="61">
        <f ca="1">SUM(D15:D16)</f>
        <v>39983.529674299447</v>
      </c>
      <c r="E17" s="61">
        <f ca="1">SUM(E15:E16)</f>
        <v>45890.422500853427</v>
      </c>
      <c r="F17" s="61"/>
      <c r="H17"/>
      <c r="I17"/>
      <c r="J17"/>
      <c r="K17"/>
      <c r="L17"/>
    </row>
    <row r="18" spans="1:14" ht="12.75" customHeight="1" x14ac:dyDescent="0.35">
      <c r="A18" s="2" t="s">
        <v>165</v>
      </c>
      <c r="B18" s="92">
        <f>-110*0</f>
        <v>0</v>
      </c>
      <c r="C18" s="92">
        <v>0</v>
      </c>
      <c r="D18" s="92">
        <f ca="1">-D17*D19</f>
        <v>0</v>
      </c>
      <c r="E18" s="92">
        <f ca="1">-E17*E19</f>
        <v>0</v>
      </c>
      <c r="F18" s="92"/>
      <c r="H18"/>
      <c r="I18"/>
      <c r="J18"/>
      <c r="K18"/>
      <c r="L18"/>
    </row>
    <row r="19" spans="1:14" ht="12.75" customHeight="1" x14ac:dyDescent="0.35">
      <c r="A19" s="2" t="s">
        <v>164</v>
      </c>
      <c r="B19" s="61">
        <f>B18/B17</f>
        <v>0</v>
      </c>
      <c r="C19" s="61">
        <f>C18/C17</f>
        <v>0</v>
      </c>
      <c r="D19" s="92">
        <v>0</v>
      </c>
      <c r="E19" s="92">
        <v>0</v>
      </c>
      <c r="F19" s="92"/>
      <c r="H19"/>
      <c r="I19"/>
      <c r="J19"/>
      <c r="K19"/>
      <c r="L19"/>
    </row>
    <row r="20" spans="1:14" ht="12.75" customHeight="1" x14ac:dyDescent="0.35">
      <c r="A20" s="2" t="s">
        <v>163</v>
      </c>
      <c r="B20" s="93">
        <f>-264-23294*0</f>
        <v>-264</v>
      </c>
      <c r="C20" s="93">
        <f>12070-12101-35672*0</f>
        <v>-31</v>
      </c>
      <c r="D20" s="47">
        <f>D77</f>
        <v>-1484.145</v>
      </c>
      <c r="E20" s="47">
        <f>E77</f>
        <v>363.13049999999998</v>
      </c>
      <c r="F20" s="47"/>
      <c r="H20"/>
      <c r="I20"/>
      <c r="J20"/>
      <c r="K20"/>
      <c r="L20"/>
    </row>
    <row r="21" spans="1:14" ht="12.75" customHeight="1" x14ac:dyDescent="0.35">
      <c r="A21" s="2" t="s">
        <v>162</v>
      </c>
      <c r="B21" s="102">
        <f>-B14</f>
        <v>473</v>
      </c>
      <c r="C21" s="102">
        <f>-C14</f>
        <v>570</v>
      </c>
      <c r="D21" s="102">
        <f>-D14</f>
        <v>689.14763218248311</v>
      </c>
      <c r="E21" s="102">
        <f>-E14</f>
        <v>808.29526436496621</v>
      </c>
      <c r="F21" s="84"/>
      <c r="H21"/>
      <c r="I21"/>
      <c r="J21"/>
      <c r="K21"/>
      <c r="L21"/>
    </row>
    <row r="22" spans="1:14" ht="12.75" customHeight="1" x14ac:dyDescent="0.35">
      <c r="A22" s="2" t="s">
        <v>94</v>
      </c>
      <c r="B22" s="61">
        <f>SUM(B17,B18,B20,B21)</f>
        <v>29130</v>
      </c>
      <c r="C22" s="61">
        <f>SUM(C17,C18,C20,C21)</f>
        <v>30226</v>
      </c>
      <c r="D22" s="61">
        <f ca="1">SUM(D17,D18,D20,D21)</f>
        <v>39188.532306481931</v>
      </c>
      <c r="E22" s="61">
        <f ca="1">SUM(E17,E18,E20,E21)</f>
        <v>47061.848265218396</v>
      </c>
      <c r="F22" s="61"/>
      <c r="H22"/>
      <c r="I22"/>
      <c r="K22"/>
      <c r="L22"/>
    </row>
    <row r="23" spans="1:14" ht="12.75" customHeight="1" x14ac:dyDescent="0.35">
      <c r="A23" s="2" t="s">
        <v>161</v>
      </c>
      <c r="B23" s="93">
        <v>56833</v>
      </c>
      <c r="C23" s="93">
        <v>57525</v>
      </c>
      <c r="D23" s="47">
        <f>C23</f>
        <v>57525</v>
      </c>
      <c r="E23" s="47">
        <f>D23</f>
        <v>57525</v>
      </c>
      <c r="F23" s="47"/>
      <c r="H23"/>
      <c r="I23"/>
      <c r="K23"/>
      <c r="L23"/>
    </row>
    <row r="24" spans="1:14" ht="12.75" customHeight="1" x14ac:dyDescent="0.35">
      <c r="A24" s="2" t="s">
        <v>160</v>
      </c>
      <c r="B24" s="100">
        <f>B22/B23</f>
        <v>0.51255432583182303</v>
      </c>
      <c r="C24" s="100">
        <f>C22/C23</f>
        <v>0.52544111255975667</v>
      </c>
      <c r="D24" s="100">
        <f ca="1">D22/D23</f>
        <v>0.68124349946078977</v>
      </c>
      <c r="E24" s="100">
        <f ca="1">E22/E23</f>
        <v>0.81811122581865969</v>
      </c>
      <c r="F24" s="100"/>
      <c r="H24"/>
      <c r="I24"/>
      <c r="K24"/>
      <c r="L24"/>
    </row>
    <row r="25" spans="1:14" ht="12.75" customHeight="1" x14ac:dyDescent="0.35">
      <c r="A25" s="2" t="s">
        <v>159</v>
      </c>
      <c r="B25" s="101">
        <v>0.52</v>
      </c>
      <c r="C25" s="101">
        <v>0.5</v>
      </c>
      <c r="D25" s="100">
        <f ca="1">D24*D26</f>
        <v>0.64825865656193227</v>
      </c>
      <c r="E25" s="100">
        <f ca="1">E24*E26</f>
        <v>0.77849944195755971</v>
      </c>
      <c r="F25" s="100"/>
      <c r="H25"/>
      <c r="I25"/>
      <c r="K25"/>
      <c r="L25"/>
    </row>
    <row r="26" spans="1:14" ht="12.75" customHeight="1" x14ac:dyDescent="0.35">
      <c r="A26" s="2" t="s">
        <v>158</v>
      </c>
      <c r="B26" s="99">
        <f>B25/B24</f>
        <v>1.0145266048746997</v>
      </c>
      <c r="C26" s="99">
        <f>C25/C24</f>
        <v>0.95158141996956258</v>
      </c>
      <c r="D26" s="99">
        <f>C26</f>
        <v>0.95158141996956258</v>
      </c>
      <c r="E26" s="99">
        <f>D26</f>
        <v>0.95158141996956258</v>
      </c>
      <c r="F26" s="99"/>
      <c r="H26"/>
      <c r="I26"/>
      <c r="K26"/>
      <c r="L26"/>
    </row>
    <row r="27" spans="1:14" ht="12.75" customHeight="1" x14ac:dyDescent="0.35">
      <c r="B27" s="99"/>
      <c r="C27" s="99"/>
      <c r="D27" s="99"/>
      <c r="E27" s="99"/>
      <c r="F27" s="99"/>
      <c r="H27"/>
      <c r="I27"/>
      <c r="K27"/>
      <c r="L27"/>
    </row>
    <row r="28" spans="1:14" ht="30" customHeight="1" x14ac:dyDescent="0.35">
      <c r="A28" s="98" t="s">
        <v>157</v>
      </c>
      <c r="B28" s="12"/>
      <c r="C28" s="97" t="s">
        <v>7</v>
      </c>
      <c r="D28" s="11" t="s">
        <v>6</v>
      </c>
      <c r="E28" s="11" t="s">
        <v>5</v>
      </c>
      <c r="F28" s="22"/>
      <c r="H28"/>
      <c r="I28"/>
      <c r="K28"/>
      <c r="L28"/>
    </row>
    <row r="29" spans="1:14" x14ac:dyDescent="0.35">
      <c r="A29" s="1" t="s">
        <v>131</v>
      </c>
      <c r="C29" s="71">
        <f>1348400+600</f>
        <v>1349000</v>
      </c>
      <c r="D29" s="3">
        <f>D69</f>
        <v>1421500</v>
      </c>
      <c r="E29" s="3">
        <f>E69</f>
        <v>1494000</v>
      </c>
      <c r="F29" s="3"/>
      <c r="H29"/>
      <c r="I29"/>
      <c r="K29"/>
      <c r="L29"/>
    </row>
    <row r="30" spans="1:14" x14ac:dyDescent="0.35">
      <c r="A30" s="1" t="s">
        <v>156</v>
      </c>
      <c r="C30" s="71">
        <v>32385</v>
      </c>
      <c r="D30" s="33">
        <f>C30+D77</f>
        <v>30900.855</v>
      </c>
      <c r="E30" s="33">
        <f>D30+E77</f>
        <v>31263.985499999999</v>
      </c>
      <c r="F30" s="3"/>
      <c r="H30"/>
      <c r="I30"/>
      <c r="J30"/>
      <c r="K30"/>
      <c r="L30"/>
      <c r="M30"/>
      <c r="N30"/>
    </row>
    <row r="31" spans="1:14" x14ac:dyDescent="0.35">
      <c r="A31" s="1" t="s">
        <v>117</v>
      </c>
      <c r="C31" s="71">
        <v>7826</v>
      </c>
      <c r="D31" s="33">
        <f>D88</f>
        <v>10257.321117817517</v>
      </c>
      <c r="E31" s="33">
        <f>E88</f>
        <v>12569.494603452551</v>
      </c>
      <c r="F31" s="3"/>
      <c r="G31"/>
      <c r="H31"/>
      <c r="I31"/>
      <c r="J31"/>
      <c r="K31"/>
      <c r="L31"/>
      <c r="M31"/>
      <c r="N31"/>
    </row>
    <row r="32" spans="1:14" x14ac:dyDescent="0.35">
      <c r="A32" s="1" t="s">
        <v>155</v>
      </c>
      <c r="C32" s="71">
        <f>319+181+17615+1</f>
        <v>18116</v>
      </c>
      <c r="D32" s="33">
        <f>C32</f>
        <v>18116</v>
      </c>
      <c r="E32" s="33">
        <f>D32</f>
        <v>18116</v>
      </c>
      <c r="F32" s="3"/>
      <c r="H32"/>
      <c r="I32"/>
      <c r="J32"/>
      <c r="K32"/>
      <c r="L32"/>
      <c r="M32"/>
      <c r="N32"/>
    </row>
    <row r="33" spans="1:14" x14ac:dyDescent="0.35">
      <c r="A33" s="1" t="s">
        <v>103</v>
      </c>
      <c r="C33" s="71">
        <f>4117+1967+8137</f>
        <v>14221</v>
      </c>
      <c r="D33" s="33">
        <f>D102</f>
        <v>14824.655863245562</v>
      </c>
      <c r="E33" s="33">
        <f>E102</f>
        <v>15759.620707001595</v>
      </c>
      <c r="F33" s="3"/>
      <c r="H33"/>
      <c r="I33"/>
      <c r="J33"/>
      <c r="K33"/>
      <c r="L33"/>
      <c r="M33"/>
      <c r="N33"/>
    </row>
    <row r="34" spans="1:14" x14ac:dyDescent="0.35">
      <c r="A34" s="1" t="s">
        <v>154</v>
      </c>
      <c r="C34" s="95">
        <v>120788</v>
      </c>
      <c r="D34" s="57">
        <f ca="1">D139</f>
        <v>48075.936511889216</v>
      </c>
      <c r="E34" s="57">
        <f ca="1">E139</f>
        <v>10000</v>
      </c>
      <c r="F34" s="94"/>
      <c r="H34"/>
      <c r="I34"/>
      <c r="J34"/>
      <c r="K34"/>
      <c r="L34"/>
      <c r="M34"/>
      <c r="N34"/>
    </row>
    <row r="35" spans="1:14" x14ac:dyDescent="0.35">
      <c r="A35" s="1" t="s">
        <v>153</v>
      </c>
      <c r="C35" s="82">
        <f>SUM(C29:C34)</f>
        <v>1542336</v>
      </c>
      <c r="D35" s="33">
        <f ca="1">SUM(D29:D34)</f>
        <v>1543674.768492952</v>
      </c>
      <c r="E35" s="33">
        <f ca="1">SUM(E29:E34)</f>
        <v>1581709.100810454</v>
      </c>
      <c r="F35" s="3"/>
      <c r="H35"/>
      <c r="I35"/>
      <c r="J35"/>
      <c r="K35"/>
      <c r="L35"/>
      <c r="M35"/>
      <c r="N35"/>
    </row>
    <row r="36" spans="1:14" x14ac:dyDescent="0.35">
      <c r="A36" s="1"/>
      <c r="D36" s="34"/>
      <c r="E36" s="34"/>
      <c r="F36" s="3"/>
      <c r="H36"/>
      <c r="I36"/>
      <c r="J36"/>
      <c r="K36"/>
      <c r="L36"/>
      <c r="M36"/>
      <c r="N36"/>
    </row>
    <row r="37" spans="1:14" x14ac:dyDescent="0.35">
      <c r="A37" s="1" t="s">
        <v>152</v>
      </c>
      <c r="C37" s="71">
        <f>786410+7796</f>
        <v>794206</v>
      </c>
      <c r="D37" s="55">
        <f ca="1">D146</f>
        <v>794206</v>
      </c>
      <c r="E37" s="55">
        <f ca="1">E146</f>
        <v>830398.43132440071</v>
      </c>
      <c r="F37" s="96"/>
      <c r="H37"/>
      <c r="I37"/>
      <c r="K37"/>
      <c r="L37"/>
    </row>
    <row r="38" spans="1:14" x14ac:dyDescent="0.35">
      <c r="A38" s="1" t="s">
        <v>151</v>
      </c>
      <c r="C38" s="71">
        <f>21842+355+21007</f>
        <v>43204</v>
      </c>
      <c r="D38" s="33">
        <f>C38</f>
        <v>43204</v>
      </c>
      <c r="E38" s="33">
        <f>D38</f>
        <v>43204</v>
      </c>
      <c r="F38" s="3"/>
      <c r="H38"/>
      <c r="I38"/>
      <c r="K38"/>
      <c r="L38"/>
    </row>
    <row r="39" spans="1:14" x14ac:dyDescent="0.35">
      <c r="A39" s="1" t="s">
        <v>150</v>
      </c>
      <c r="C39" s="71">
        <f>2180+324+6990</f>
        <v>9494</v>
      </c>
      <c r="D39" s="33">
        <f>D110</f>
        <v>9592.9468027533749</v>
      </c>
      <c r="E39" s="33">
        <f>E110</f>
        <v>9874.7242865998869</v>
      </c>
      <c r="F39" s="3"/>
      <c r="H39"/>
      <c r="I39"/>
      <c r="K39"/>
      <c r="L39"/>
    </row>
    <row r="40" spans="1:14" x14ac:dyDescent="0.35">
      <c r="A40" s="1" t="s">
        <v>100</v>
      </c>
      <c r="C40" s="95">
        <f>3024</f>
        <v>3024</v>
      </c>
      <c r="D40" s="43">
        <f>D106</f>
        <v>3055.5162346246261</v>
      </c>
      <c r="E40" s="43">
        <f>E106</f>
        <v>3145.2671416345124</v>
      </c>
      <c r="F40" s="25"/>
      <c r="H40"/>
      <c r="I40"/>
      <c r="K40"/>
      <c r="L40"/>
    </row>
    <row r="41" spans="1:14" x14ac:dyDescent="0.35">
      <c r="A41" s="1" t="s">
        <v>149</v>
      </c>
      <c r="C41" s="3">
        <f>SUM(C37:C40)</f>
        <v>849928</v>
      </c>
      <c r="D41" s="33">
        <f ca="1">SUM(D37:D40)</f>
        <v>850058.46303737804</v>
      </c>
      <c r="E41" s="33">
        <f ca="1">SUM(E37:E40)</f>
        <v>886622.42275263509</v>
      </c>
      <c r="F41" s="3"/>
      <c r="H41"/>
      <c r="I41"/>
      <c r="K41"/>
      <c r="L41"/>
    </row>
    <row r="42" spans="1:14" x14ac:dyDescent="0.35">
      <c r="A42" s="1" t="s">
        <v>148</v>
      </c>
      <c r="C42" s="95">
        <v>692408</v>
      </c>
      <c r="D42" s="57">
        <f ca="1">C42+D117</f>
        <v>693616.3054555743</v>
      </c>
      <c r="E42" s="57">
        <f ca="1">D42+E117</f>
        <v>695086.67805781914</v>
      </c>
      <c r="F42" s="94"/>
      <c r="H42"/>
      <c r="I42"/>
      <c r="K42"/>
      <c r="L42"/>
    </row>
    <row r="43" spans="1:14" x14ac:dyDescent="0.35">
      <c r="A43" s="1" t="s">
        <v>147</v>
      </c>
      <c r="C43" s="3">
        <f>SUM(C41:C42)</f>
        <v>1542336</v>
      </c>
      <c r="D43" s="33">
        <f ca="1">SUM(D41:D42)</f>
        <v>1543674.7684929525</v>
      </c>
      <c r="E43" s="33">
        <f ca="1">SUM(E41:E42)</f>
        <v>1581709.1008104542</v>
      </c>
      <c r="F43" s="3"/>
      <c r="H43"/>
      <c r="I43"/>
      <c r="K43"/>
      <c r="L43"/>
    </row>
    <row r="44" spans="1:14" x14ac:dyDescent="0.35">
      <c r="A44" s="2" t="s">
        <v>146</v>
      </c>
      <c r="C44" s="3">
        <f>C43-C35</f>
        <v>0</v>
      </c>
      <c r="D44" s="3">
        <f ca="1">D43-D35</f>
        <v>0</v>
      </c>
      <c r="E44" s="3">
        <f ca="1">E43-E35</f>
        <v>0</v>
      </c>
      <c r="H44"/>
      <c r="I44"/>
      <c r="K44"/>
      <c r="L44"/>
    </row>
    <row r="45" spans="1:14" x14ac:dyDescent="0.35">
      <c r="H45"/>
      <c r="I45"/>
      <c r="K45"/>
      <c r="L45"/>
    </row>
    <row r="46" spans="1:14" x14ac:dyDescent="0.35">
      <c r="A46" s="31" t="s">
        <v>129</v>
      </c>
      <c r="B46" s="11" t="s">
        <v>126</v>
      </c>
      <c r="C46" s="11" t="s">
        <v>7</v>
      </c>
      <c r="D46" s="11" t="s">
        <v>6</v>
      </c>
      <c r="E46" s="11" t="s">
        <v>5</v>
      </c>
      <c r="F46" s="22"/>
      <c r="H46"/>
      <c r="I46"/>
      <c r="K46"/>
      <c r="L46"/>
    </row>
    <row r="47" spans="1:14" x14ac:dyDescent="0.35">
      <c r="A47" s="2" t="s">
        <v>145</v>
      </c>
      <c r="B47" s="76" t="s">
        <v>106</v>
      </c>
      <c r="C47" s="76" t="s">
        <v>106</v>
      </c>
      <c r="D47" s="93">
        <v>100000</v>
      </c>
      <c r="E47" s="93">
        <v>100000</v>
      </c>
      <c r="F47" s="92"/>
      <c r="H47"/>
      <c r="I47"/>
      <c r="K47"/>
      <c r="L47"/>
    </row>
    <row r="48" spans="1:14" x14ac:dyDescent="0.35">
      <c r="A48" s="2" t="s">
        <v>144</v>
      </c>
      <c r="B48" s="77" t="s">
        <v>106</v>
      </c>
      <c r="C48" s="77" t="s">
        <v>106</v>
      </c>
      <c r="D48" s="91">
        <v>6.5000000000000002E-2</v>
      </c>
      <c r="E48" s="91">
        <v>6.5000000000000002E-2</v>
      </c>
      <c r="F48" s="90"/>
      <c r="H48"/>
      <c r="I48"/>
      <c r="K48"/>
      <c r="L48"/>
    </row>
    <row r="49" spans="1:12" x14ac:dyDescent="0.35">
      <c r="A49" s="2" t="s">
        <v>143</v>
      </c>
      <c r="B49" s="76" t="s">
        <v>106</v>
      </c>
      <c r="C49" s="76" t="s">
        <v>106</v>
      </c>
      <c r="D49" s="47">
        <f>D47*D48</f>
        <v>6500</v>
      </c>
      <c r="E49" s="47">
        <f>E47*E48</f>
        <v>6500</v>
      </c>
      <c r="F49" s="47"/>
      <c r="H49"/>
      <c r="I49"/>
      <c r="K49"/>
      <c r="L49"/>
    </row>
    <row r="50" spans="1:12" x14ac:dyDescent="0.35">
      <c r="B50" s="76"/>
      <c r="C50" s="76"/>
      <c r="D50" s="36"/>
      <c r="E50" s="36"/>
      <c r="F50" s="36"/>
      <c r="H50"/>
      <c r="I50"/>
      <c r="K50"/>
      <c r="L50"/>
    </row>
    <row r="51" spans="1:12" x14ac:dyDescent="0.35">
      <c r="A51" s="2" t="s">
        <v>142</v>
      </c>
      <c r="B51" s="76" t="s">
        <v>106</v>
      </c>
      <c r="C51" s="76" t="s">
        <v>106</v>
      </c>
      <c r="D51" s="36">
        <f>$D$49*(1/2)</f>
        <v>3250</v>
      </c>
      <c r="E51" s="36">
        <f>$D$49*(1/2)</f>
        <v>3250</v>
      </c>
      <c r="F51" s="36"/>
      <c r="H51"/>
      <c r="I51"/>
      <c r="K51"/>
      <c r="L51"/>
    </row>
    <row r="52" spans="1:12" x14ac:dyDescent="0.35">
      <c r="A52" s="2" t="s">
        <v>141</v>
      </c>
      <c r="B52" s="77" t="s">
        <v>106</v>
      </c>
      <c r="C52" s="77" t="s">
        <v>106</v>
      </c>
      <c r="D52" s="37">
        <v>0</v>
      </c>
      <c r="E52" s="37">
        <f>$E$49*(1/2)</f>
        <v>3250</v>
      </c>
      <c r="F52" s="36"/>
      <c r="H52"/>
      <c r="I52"/>
      <c r="K52"/>
      <c r="L52"/>
    </row>
    <row r="53" spans="1:12" x14ac:dyDescent="0.35">
      <c r="A53" s="2" t="s">
        <v>140</v>
      </c>
      <c r="B53" s="36">
        <f>SUM(B51:B52)</f>
        <v>0</v>
      </c>
      <c r="C53" s="36">
        <f>SUM(C51:C52)</f>
        <v>0</v>
      </c>
      <c r="D53" s="36">
        <f>SUM(D51:D52)</f>
        <v>3250</v>
      </c>
      <c r="E53" s="36">
        <f>SUM(E51:E52)</f>
        <v>6500</v>
      </c>
      <c r="F53" s="36"/>
      <c r="H53"/>
      <c r="I53"/>
      <c r="K53"/>
      <c r="L53"/>
    </row>
    <row r="54" spans="1:12" x14ac:dyDescent="0.35">
      <c r="H54"/>
      <c r="I54"/>
      <c r="K54"/>
      <c r="L54"/>
    </row>
    <row r="55" spans="1:12" x14ac:dyDescent="0.35">
      <c r="A55" s="2" t="s">
        <v>139</v>
      </c>
      <c r="B55" s="76" t="s">
        <v>106</v>
      </c>
      <c r="C55" s="76" t="s">
        <v>106</v>
      </c>
      <c r="D55" s="93">
        <v>50000</v>
      </c>
      <c r="E55" s="93">
        <v>50000</v>
      </c>
      <c r="F55" s="92"/>
      <c r="H55"/>
      <c r="I55"/>
      <c r="K55"/>
      <c r="L55"/>
    </row>
    <row r="56" spans="1:12" x14ac:dyDescent="0.35">
      <c r="A56" s="2" t="s">
        <v>138</v>
      </c>
      <c r="B56" s="77" t="s">
        <v>106</v>
      </c>
      <c r="C56" s="77" t="s">
        <v>106</v>
      </c>
      <c r="D56" s="91">
        <v>0.05</v>
      </c>
      <c r="E56" s="91">
        <v>0.05</v>
      </c>
      <c r="F56" s="90"/>
      <c r="H56"/>
      <c r="I56"/>
      <c r="K56"/>
      <c r="L56"/>
    </row>
    <row r="57" spans="1:12" x14ac:dyDescent="0.35">
      <c r="A57" s="2" t="s">
        <v>137</v>
      </c>
      <c r="B57" s="76" t="s">
        <v>106</v>
      </c>
      <c r="C57" s="76" t="s">
        <v>106</v>
      </c>
      <c r="D57" s="47">
        <f>D55*D56</f>
        <v>2500</v>
      </c>
      <c r="E57" s="47">
        <f>E55*E56</f>
        <v>2500</v>
      </c>
      <c r="F57" s="47"/>
      <c r="H57"/>
      <c r="I57"/>
      <c r="K57"/>
      <c r="L57"/>
    </row>
    <row r="58" spans="1:12" x14ac:dyDescent="0.35">
      <c r="B58" s="76"/>
      <c r="C58" s="76"/>
      <c r="D58" s="36"/>
      <c r="E58" s="36"/>
      <c r="F58" s="36"/>
      <c r="H58"/>
      <c r="I58"/>
      <c r="K58"/>
      <c r="L58"/>
    </row>
    <row r="59" spans="1:12" x14ac:dyDescent="0.35">
      <c r="A59" s="2" t="s">
        <v>136</v>
      </c>
      <c r="B59" s="76" t="s">
        <v>106</v>
      </c>
      <c r="C59" s="76" t="s">
        <v>106</v>
      </c>
      <c r="D59" s="36">
        <f>-$D$57*(1/2)</f>
        <v>-1250</v>
      </c>
      <c r="E59" s="36">
        <f>-$D$57*(1/2)</f>
        <v>-1250</v>
      </c>
      <c r="F59" s="36"/>
      <c r="H59"/>
      <c r="I59"/>
      <c r="K59"/>
      <c r="L59"/>
    </row>
    <row r="60" spans="1:12" x14ac:dyDescent="0.35">
      <c r="A60" s="2" t="s">
        <v>135</v>
      </c>
      <c r="B60" s="77" t="s">
        <v>106</v>
      </c>
      <c r="C60" s="77" t="s">
        <v>106</v>
      </c>
      <c r="D60" s="37">
        <v>0</v>
      </c>
      <c r="E60" s="37">
        <f>-$E$57*(1/2)</f>
        <v>-1250</v>
      </c>
      <c r="F60" s="36"/>
      <c r="H60"/>
      <c r="I60"/>
      <c r="K60"/>
      <c r="L60"/>
    </row>
    <row r="61" spans="1:12" x14ac:dyDescent="0.35">
      <c r="A61" s="2" t="s">
        <v>134</v>
      </c>
      <c r="B61" s="36">
        <f>SUM(B59:B60)</f>
        <v>0</v>
      </c>
      <c r="C61" s="36">
        <f>SUM(C59:C60)</f>
        <v>0</v>
      </c>
      <c r="D61" s="36">
        <f>SUM(D59:D60)</f>
        <v>-1250</v>
      </c>
      <c r="E61" s="36">
        <f>SUM(E59:E60)</f>
        <v>-2500</v>
      </c>
      <c r="F61" s="36"/>
      <c r="H61"/>
      <c r="I61"/>
      <c r="K61"/>
      <c r="L61"/>
    </row>
    <row r="62" spans="1:12" x14ac:dyDescent="0.35">
      <c r="A62" s="89" t="s">
        <v>133</v>
      </c>
      <c r="B62" s="88" t="s">
        <v>106</v>
      </c>
      <c r="C62" s="88" t="s">
        <v>106</v>
      </c>
      <c r="D62" s="87">
        <f>D53+D61</f>
        <v>2000</v>
      </c>
      <c r="E62" s="87">
        <f>E53+E61</f>
        <v>4000</v>
      </c>
      <c r="F62" s="61"/>
      <c r="H62"/>
      <c r="I62"/>
      <c r="K62"/>
      <c r="L62"/>
    </row>
    <row r="63" spans="1:12" collapsed="1" x14ac:dyDescent="0.35">
      <c r="H63"/>
      <c r="I63"/>
      <c r="K63"/>
      <c r="L63"/>
    </row>
    <row r="64" spans="1:12" x14ac:dyDescent="0.35">
      <c r="A64" s="86" t="s">
        <v>132</v>
      </c>
      <c r="H64"/>
      <c r="I64"/>
      <c r="K64"/>
      <c r="L64"/>
    </row>
    <row r="65" spans="1:12" x14ac:dyDescent="0.35">
      <c r="A65" s="31" t="s">
        <v>131</v>
      </c>
      <c r="B65" s="11" t="s">
        <v>126</v>
      </c>
      <c r="C65" s="11" t="s">
        <v>7</v>
      </c>
      <c r="D65" s="11" t="s">
        <v>6</v>
      </c>
      <c r="E65" s="11" t="s">
        <v>5</v>
      </c>
      <c r="F65" s="22"/>
      <c r="H65"/>
      <c r="I65"/>
      <c r="K65"/>
      <c r="L65"/>
    </row>
    <row r="66" spans="1:12" x14ac:dyDescent="0.35">
      <c r="A66" s="2" t="s">
        <v>130</v>
      </c>
      <c r="B66" s="76" t="s">
        <v>106</v>
      </c>
      <c r="C66" s="76" t="s">
        <v>106</v>
      </c>
      <c r="D66" s="3">
        <f>C69</f>
        <v>1349000</v>
      </c>
      <c r="E66" s="3">
        <f>D69</f>
        <v>1421500</v>
      </c>
      <c r="F66" s="3"/>
      <c r="H66"/>
      <c r="I66"/>
      <c r="K66"/>
      <c r="L66"/>
    </row>
    <row r="67" spans="1:12" x14ac:dyDescent="0.35">
      <c r="A67" s="63" t="s">
        <v>129</v>
      </c>
      <c r="B67" s="85" t="s">
        <v>106</v>
      </c>
      <c r="C67" s="85" t="s">
        <v>106</v>
      </c>
      <c r="D67" s="84">
        <f>D47-D55</f>
        <v>50000</v>
      </c>
      <c r="E67" s="84">
        <f>E47-E55</f>
        <v>50000</v>
      </c>
      <c r="F67" s="84"/>
      <c r="H67"/>
      <c r="I67"/>
      <c r="K67"/>
      <c r="L67"/>
    </row>
    <row r="68" spans="1:12" x14ac:dyDescent="0.35">
      <c r="A68" s="2" t="s">
        <v>112</v>
      </c>
      <c r="B68" s="83"/>
      <c r="C68" s="77" t="s">
        <v>106</v>
      </c>
      <c r="D68" s="83">
        <f>AVERAGE(40000,50000)/2</f>
        <v>22500</v>
      </c>
      <c r="E68" s="83">
        <f>AVERAGE(40000,50000)/2</f>
        <v>22500</v>
      </c>
      <c r="F68" s="81"/>
      <c r="H68"/>
      <c r="I68"/>
      <c r="K68"/>
      <c r="L68"/>
    </row>
    <row r="69" spans="1:12" x14ac:dyDescent="0.35">
      <c r="A69" s="2" t="s">
        <v>128</v>
      </c>
      <c r="B69" s="76" t="s">
        <v>106</v>
      </c>
      <c r="C69" s="82">
        <f>C29</f>
        <v>1349000</v>
      </c>
      <c r="D69" s="3">
        <f>SUM(D66:D68)</f>
        <v>1421500</v>
      </c>
      <c r="E69" s="3">
        <f>SUM(E66:E68)</f>
        <v>1494000</v>
      </c>
      <c r="F69" s="3"/>
      <c r="H69"/>
      <c r="I69"/>
      <c r="K69"/>
      <c r="L69"/>
    </row>
    <row r="70" spans="1:12" x14ac:dyDescent="0.35">
      <c r="H70"/>
      <c r="I70"/>
      <c r="K70"/>
      <c r="L70"/>
    </row>
    <row r="71" spans="1:12" collapsed="1" x14ac:dyDescent="0.35">
      <c r="A71" s="31" t="s">
        <v>127</v>
      </c>
      <c r="B71" s="11" t="s">
        <v>126</v>
      </c>
      <c r="C71" s="11" t="s">
        <v>7</v>
      </c>
      <c r="D71" s="11" t="s">
        <v>6</v>
      </c>
      <c r="E71" s="11" t="s">
        <v>5</v>
      </c>
      <c r="F71" s="22"/>
      <c r="H71"/>
      <c r="I71"/>
      <c r="K71"/>
      <c r="L71"/>
    </row>
    <row r="72" spans="1:12" x14ac:dyDescent="0.35">
      <c r="A72" s="2" t="s">
        <v>125</v>
      </c>
      <c r="B72" s="76" t="s">
        <v>106</v>
      </c>
      <c r="C72" s="76" t="s">
        <v>106</v>
      </c>
      <c r="D72" s="25">
        <v>0</v>
      </c>
      <c r="E72" s="81">
        <f>(910+2950/80%)*49%</f>
        <v>2252.7750000000001</v>
      </c>
      <c r="F72" s="81"/>
      <c r="H72"/>
      <c r="I72"/>
      <c r="K72"/>
      <c r="L72"/>
    </row>
    <row r="73" spans="1:12" x14ac:dyDescent="0.35">
      <c r="A73" s="2" t="s">
        <v>124</v>
      </c>
      <c r="B73" s="77" t="s">
        <v>106</v>
      </c>
      <c r="C73" s="77" t="s">
        <v>106</v>
      </c>
      <c r="D73" s="7">
        <v>0</v>
      </c>
      <c r="E73" s="79">
        <v>0.82</v>
      </c>
      <c r="F73" s="78"/>
      <c r="H73"/>
      <c r="I73"/>
      <c r="K73"/>
      <c r="L73"/>
    </row>
    <row r="74" spans="1:12" x14ac:dyDescent="0.35">
      <c r="A74" s="2" t="s">
        <v>123</v>
      </c>
      <c r="B74" s="76" t="s">
        <v>106</v>
      </c>
      <c r="C74" s="76" t="s">
        <v>106</v>
      </c>
      <c r="D74" s="25">
        <v>0</v>
      </c>
      <c r="E74" s="25">
        <f>E72*E73</f>
        <v>1847.2755</v>
      </c>
      <c r="F74" s="25"/>
      <c r="H74"/>
      <c r="I74"/>
      <c r="K74"/>
      <c r="L74"/>
    </row>
    <row r="75" spans="1:12" x14ac:dyDescent="0.35">
      <c r="A75" s="2" t="s">
        <v>122</v>
      </c>
      <c r="B75" s="76" t="s">
        <v>106</v>
      </c>
      <c r="C75" s="76" t="s">
        <v>106</v>
      </c>
      <c r="D75" s="25">
        <f>-D79*D80</f>
        <v>-1484.145</v>
      </c>
      <c r="E75" s="25">
        <f>-E79*E80</f>
        <v>-1484.145</v>
      </c>
      <c r="F75" s="25"/>
      <c r="H75"/>
      <c r="I75"/>
      <c r="K75"/>
      <c r="L75"/>
    </row>
    <row r="76" spans="1:12" x14ac:dyDescent="0.35">
      <c r="A76" s="2" t="s">
        <v>121</v>
      </c>
      <c r="B76" s="77" t="s">
        <v>106</v>
      </c>
      <c r="C76" s="77" t="s">
        <v>106</v>
      </c>
      <c r="D76" s="7">
        <v>0</v>
      </c>
      <c r="E76" s="7">
        <v>0</v>
      </c>
      <c r="F76" s="25"/>
      <c r="H76"/>
      <c r="I76"/>
      <c r="K76"/>
      <c r="L76"/>
    </row>
    <row r="77" spans="1:12" x14ac:dyDescent="0.35">
      <c r="A77" s="2" t="s">
        <v>120</v>
      </c>
      <c r="B77" s="76" t="s">
        <v>106</v>
      </c>
      <c r="C77" s="76" t="s">
        <v>106</v>
      </c>
      <c r="D77" s="3">
        <f>SUM(D74:D76)</f>
        <v>-1484.145</v>
      </c>
      <c r="E77" s="3">
        <f>SUM(E74:E76)</f>
        <v>363.13049999999998</v>
      </c>
      <c r="F77" s="3"/>
      <c r="H77"/>
      <c r="I77"/>
      <c r="K77"/>
      <c r="L77"/>
    </row>
    <row r="78" spans="1:12" x14ac:dyDescent="0.35">
      <c r="H78"/>
      <c r="I78"/>
      <c r="K78"/>
      <c r="L78"/>
    </row>
    <row r="79" spans="1:12" x14ac:dyDescent="0.35">
      <c r="A79" s="2" t="s">
        <v>119</v>
      </c>
      <c r="B79" s="76" t="s">
        <v>106</v>
      </c>
      <c r="C79" s="71">
        <v>34515</v>
      </c>
      <c r="D79" s="36">
        <f>C79</f>
        <v>34515</v>
      </c>
      <c r="E79" s="36">
        <f>D79</f>
        <v>34515</v>
      </c>
      <c r="F79" s="36"/>
      <c r="H79"/>
      <c r="I79"/>
      <c r="K79"/>
      <c r="L79"/>
    </row>
    <row r="80" spans="1:12" collapsed="1" x14ac:dyDescent="0.35">
      <c r="A80" s="2" t="s">
        <v>118</v>
      </c>
      <c r="B80" s="76" t="s">
        <v>106</v>
      </c>
      <c r="C80" s="9">
        <v>4.2999999999999997E-2</v>
      </c>
      <c r="D80" s="14">
        <f>C80</f>
        <v>4.2999999999999997E-2</v>
      </c>
      <c r="E80" s="14">
        <f>D80</f>
        <v>4.2999999999999997E-2</v>
      </c>
      <c r="F80" s="14"/>
      <c r="H80"/>
      <c r="I80"/>
      <c r="K80"/>
      <c r="L80"/>
    </row>
    <row r="81" spans="1:12" x14ac:dyDescent="0.35">
      <c r="H81"/>
      <c r="I81"/>
      <c r="K81"/>
      <c r="L81"/>
    </row>
    <row r="82" spans="1:12" collapsed="1" x14ac:dyDescent="0.35">
      <c r="F82" s="22"/>
      <c r="H82"/>
      <c r="I82"/>
      <c r="K82"/>
      <c r="L82"/>
    </row>
    <row r="83" spans="1:12" x14ac:dyDescent="0.35">
      <c r="F83" s="64"/>
      <c r="G83"/>
      <c r="H83"/>
      <c r="I83"/>
      <c r="K83"/>
      <c r="L83"/>
    </row>
    <row r="84" spans="1:12" x14ac:dyDescent="0.35">
      <c r="A84" s="31" t="s">
        <v>117</v>
      </c>
      <c r="B84" s="11"/>
      <c r="C84" s="11" t="s">
        <v>7</v>
      </c>
      <c r="D84" s="11" t="s">
        <v>6</v>
      </c>
      <c r="E84" s="11" t="s">
        <v>5</v>
      </c>
      <c r="F84" s="64"/>
      <c r="G84"/>
      <c r="H84"/>
      <c r="I84"/>
      <c r="K84"/>
      <c r="L84"/>
    </row>
    <row r="85" spans="1:12" x14ac:dyDescent="0.35">
      <c r="A85" s="2" t="s">
        <v>116</v>
      </c>
      <c r="C85" s="75" t="s">
        <v>106</v>
      </c>
      <c r="D85" s="64">
        <f>C88</f>
        <v>7826</v>
      </c>
      <c r="E85" s="64">
        <f>D88</f>
        <v>10257.321117817517</v>
      </c>
      <c r="F85" s="64"/>
      <c r="G85"/>
      <c r="H85"/>
      <c r="I85"/>
      <c r="K85"/>
      <c r="L85"/>
    </row>
    <row r="86" spans="1:12" x14ac:dyDescent="0.35">
      <c r="A86" s="2" t="s">
        <v>113</v>
      </c>
      <c r="C86" s="74" t="s">
        <v>106</v>
      </c>
      <c r="D86" s="64">
        <f>D90</f>
        <v>3120.46875</v>
      </c>
      <c r="E86" s="64">
        <f>E90</f>
        <v>3120.46875</v>
      </c>
      <c r="F86" s="64"/>
      <c r="G86"/>
      <c r="H86"/>
      <c r="I86"/>
      <c r="K86"/>
      <c r="L86"/>
    </row>
    <row r="87" spans="1:12" x14ac:dyDescent="0.35">
      <c r="A87" s="2" t="s">
        <v>115</v>
      </c>
      <c r="C87" s="73" t="s">
        <v>106</v>
      </c>
      <c r="D87" s="65">
        <f>D98</f>
        <v>-689.14763218248311</v>
      </c>
      <c r="E87" s="65">
        <f>E98</f>
        <v>-808.29526436496621</v>
      </c>
      <c r="F87" s="72"/>
      <c r="G87"/>
      <c r="H87"/>
      <c r="I87"/>
      <c r="K87"/>
      <c r="L87"/>
    </row>
    <row r="88" spans="1:12" x14ac:dyDescent="0.35">
      <c r="A88" s="2" t="s">
        <v>114</v>
      </c>
      <c r="B88"/>
      <c r="C88" s="64">
        <f>C31</f>
        <v>7826</v>
      </c>
      <c r="D88" s="64">
        <f>SUM(D85:D87)</f>
        <v>10257.321117817517</v>
      </c>
      <c r="E88" s="64">
        <f>SUM(E85:E87)</f>
        <v>12569.494603452551</v>
      </c>
      <c r="F88" s="64"/>
      <c r="G88"/>
      <c r="H88"/>
      <c r="I88"/>
      <c r="K88"/>
      <c r="L88"/>
    </row>
    <row r="89" spans="1:12" x14ac:dyDescent="0.35">
      <c r="A89" s="1"/>
      <c r="B89"/>
      <c r="C89" s="70"/>
      <c r="D89" s="72"/>
      <c r="E89" s="72"/>
      <c r="F89" s="64"/>
      <c r="G89"/>
      <c r="H89"/>
      <c r="I89"/>
      <c r="K89"/>
      <c r="L89"/>
    </row>
    <row r="90" spans="1:12" x14ac:dyDescent="0.35">
      <c r="A90" s="2" t="s">
        <v>113</v>
      </c>
      <c r="B90" s="71"/>
      <c r="C90" s="10">
        <f>2244-25</f>
        <v>2219</v>
      </c>
      <c r="D90" s="64">
        <f>D91*D92</f>
        <v>3120.46875</v>
      </c>
      <c r="E90" s="64">
        <f>E91*E92</f>
        <v>3120.46875</v>
      </c>
      <c r="F90" s="70"/>
      <c r="G90"/>
      <c r="H90"/>
      <c r="I90"/>
      <c r="K90"/>
      <c r="L90"/>
    </row>
    <row r="91" spans="1:12" x14ac:dyDescent="0.35">
      <c r="A91" s="2" t="s">
        <v>112</v>
      </c>
      <c r="B91" s="71"/>
      <c r="C91" s="10">
        <v>16000</v>
      </c>
      <c r="D91" s="64">
        <f>D68</f>
        <v>22500</v>
      </c>
      <c r="E91" s="64">
        <f>E68</f>
        <v>22500</v>
      </c>
      <c r="F91" s="68"/>
      <c r="G91"/>
      <c r="H91"/>
      <c r="I91"/>
      <c r="K91"/>
      <c r="L91"/>
    </row>
    <row r="92" spans="1:12" x14ac:dyDescent="0.35">
      <c r="A92" s="50" t="s">
        <v>111</v>
      </c>
      <c r="B92"/>
      <c r="C92" s="70">
        <f>C90/C91</f>
        <v>0.13868749999999999</v>
      </c>
      <c r="D92" s="70">
        <f>$C$92</f>
        <v>0.13868749999999999</v>
      </c>
      <c r="E92" s="70">
        <f>D92</f>
        <v>0.13868749999999999</v>
      </c>
      <c r="H92"/>
      <c r="I92"/>
      <c r="K92"/>
      <c r="L92"/>
    </row>
    <row r="93" spans="1:12" collapsed="1" x14ac:dyDescent="0.35">
      <c r="A93" s="50" t="s">
        <v>110</v>
      </c>
      <c r="B93"/>
      <c r="C93" s="69">
        <f>AVERAGE(6957,9176)/308</f>
        <v>26.189935064935064</v>
      </c>
      <c r="D93" s="68">
        <f>$C$93</f>
        <v>26.189935064935064</v>
      </c>
      <c r="E93" s="68">
        <f>D93</f>
        <v>26.189935064935064</v>
      </c>
      <c r="F93" s="64"/>
      <c r="G93"/>
      <c r="H93"/>
      <c r="I93"/>
      <c r="K93"/>
      <c r="L93"/>
    </row>
    <row r="94" spans="1:12" x14ac:dyDescent="0.35">
      <c r="A94" s="1"/>
      <c r="F94" s="64"/>
      <c r="G94"/>
      <c r="H94"/>
      <c r="I94"/>
      <c r="K94"/>
      <c r="L94"/>
    </row>
    <row r="95" spans="1:12" x14ac:dyDescent="0.35">
      <c r="A95" s="2" t="s">
        <v>109</v>
      </c>
      <c r="B95"/>
      <c r="C95" s="64">
        <f>C14</f>
        <v>-570</v>
      </c>
      <c r="D95" s="64">
        <f>C95</f>
        <v>-570</v>
      </c>
      <c r="E95" s="64">
        <f>D95</f>
        <v>-570</v>
      </c>
      <c r="F95" s="64"/>
      <c r="G95"/>
      <c r="H95"/>
      <c r="I95"/>
      <c r="K95"/>
      <c r="L95"/>
    </row>
    <row r="96" spans="1:12" x14ac:dyDescent="0.35">
      <c r="A96" s="2" t="s">
        <v>108</v>
      </c>
      <c r="B96"/>
      <c r="C96" s="67" t="s">
        <v>106</v>
      </c>
      <c r="D96" s="64">
        <f>-D$90/D$93</f>
        <v>-119.14763218248312</v>
      </c>
      <c r="E96" s="64">
        <f>D96</f>
        <v>-119.14763218248312</v>
      </c>
      <c r="F96" s="64"/>
      <c r="G96"/>
      <c r="H96"/>
      <c r="I96"/>
      <c r="K96"/>
      <c r="L96"/>
    </row>
    <row r="97" spans="1:12" x14ac:dyDescent="0.35">
      <c r="A97" s="2" t="s">
        <v>107</v>
      </c>
      <c r="B97"/>
      <c r="C97" s="66" t="s">
        <v>106</v>
      </c>
      <c r="D97" s="66" t="s">
        <v>106</v>
      </c>
      <c r="E97" s="65">
        <f>-E$90/E$93</f>
        <v>-119.14763218248312</v>
      </c>
      <c r="H97"/>
      <c r="I97"/>
      <c r="K97"/>
      <c r="L97"/>
    </row>
    <row r="98" spans="1:12" x14ac:dyDescent="0.35">
      <c r="A98" s="2" t="s">
        <v>105</v>
      </c>
      <c r="B98"/>
      <c r="C98" s="64">
        <f>SUM(C95:C97)</f>
        <v>-570</v>
      </c>
      <c r="D98" s="64">
        <f>SUM(D95:D97)</f>
        <v>-689.14763218248311</v>
      </c>
      <c r="E98" s="64">
        <f>SUM(E95:E97)</f>
        <v>-808.29526436496621</v>
      </c>
      <c r="H98"/>
      <c r="I98"/>
      <c r="K98"/>
      <c r="L98"/>
    </row>
    <row r="99" spans="1:12" x14ac:dyDescent="0.35">
      <c r="F99" s="22"/>
      <c r="H99"/>
      <c r="I99"/>
      <c r="K99"/>
      <c r="L99"/>
    </row>
    <row r="100" spans="1:12" x14ac:dyDescent="0.35">
      <c r="F100" s="62"/>
      <c r="H100"/>
      <c r="I100"/>
      <c r="K100"/>
      <c r="L100"/>
    </row>
    <row r="101" spans="1:12" x14ac:dyDescent="0.35">
      <c r="A101" s="31" t="s">
        <v>104</v>
      </c>
      <c r="B101" s="30"/>
      <c r="C101" s="11" t="s">
        <v>7</v>
      </c>
      <c r="D101" s="11" t="s">
        <v>6</v>
      </c>
      <c r="E101" s="11" t="s">
        <v>5</v>
      </c>
      <c r="F101" s="3"/>
      <c r="H101"/>
      <c r="I101"/>
      <c r="K101"/>
      <c r="L101"/>
    </row>
    <row r="102" spans="1:12" x14ac:dyDescent="0.35">
      <c r="A102" s="63" t="s">
        <v>103</v>
      </c>
      <c r="B102" s="23"/>
      <c r="C102" s="62">
        <f>C33</f>
        <v>14221</v>
      </c>
      <c r="D102" s="62">
        <f>(D103*D104)/365</f>
        <v>14824.655863245562</v>
      </c>
      <c r="E102" s="62">
        <f>(E103*E104)/365</f>
        <v>15759.620707001595</v>
      </c>
      <c r="F102" s="60"/>
      <c r="H102"/>
      <c r="I102"/>
      <c r="K102"/>
      <c r="L102"/>
    </row>
    <row r="103" spans="1:12" x14ac:dyDescent="0.35">
      <c r="A103" s="2" t="s">
        <v>102</v>
      </c>
      <c r="C103" s="3">
        <f>C6</f>
        <v>89094</v>
      </c>
      <c r="D103" s="3">
        <f>D6</f>
        <v>92875.88</v>
      </c>
      <c r="E103" s="3">
        <f>E6</f>
        <v>98733.397600000011</v>
      </c>
      <c r="H103"/>
      <c r="I103"/>
      <c r="K103"/>
      <c r="L103"/>
    </row>
    <row r="104" spans="1:12" x14ac:dyDescent="0.35">
      <c r="A104" s="2" t="s">
        <v>101</v>
      </c>
      <c r="C104" s="60">
        <f>(C102/C103)*365</f>
        <v>58.26054504231486</v>
      </c>
      <c r="D104" s="60">
        <f>C104</f>
        <v>58.26054504231486</v>
      </c>
      <c r="E104" s="60">
        <f>D104</f>
        <v>58.26054504231486</v>
      </c>
      <c r="F104" s="62"/>
      <c r="H104"/>
      <c r="I104"/>
      <c r="K104"/>
      <c r="L104"/>
    </row>
    <row r="105" spans="1:12" x14ac:dyDescent="0.35">
      <c r="F105" s="61"/>
      <c r="H105"/>
      <c r="I105"/>
      <c r="K105"/>
      <c r="L105"/>
    </row>
    <row r="106" spans="1:12" x14ac:dyDescent="0.35">
      <c r="A106" s="2" t="s">
        <v>100</v>
      </c>
      <c r="C106" s="61">
        <f>C40</f>
        <v>3024</v>
      </c>
      <c r="D106" s="62">
        <f>(D107*D108)/365</f>
        <v>3055.5162346246261</v>
      </c>
      <c r="E106" s="62">
        <f>(E107*E108)/365</f>
        <v>3145.2671416345124</v>
      </c>
      <c r="F106" s="60"/>
      <c r="H106"/>
      <c r="I106"/>
      <c r="K106"/>
      <c r="L106"/>
    </row>
    <row r="107" spans="1:12" x14ac:dyDescent="0.35">
      <c r="A107" s="2" t="s">
        <v>97</v>
      </c>
      <c r="C107" s="61">
        <f>-C7</f>
        <v>7250</v>
      </c>
      <c r="D107" s="61">
        <f>-D7</f>
        <v>7325.5597556311322</v>
      </c>
      <c r="E107" s="61">
        <f>-E7</f>
        <v>7540.7363680060234</v>
      </c>
      <c r="H107"/>
      <c r="I107"/>
      <c r="K107"/>
      <c r="L107"/>
    </row>
    <row r="108" spans="1:12" x14ac:dyDescent="0.35">
      <c r="A108" s="2" t="s">
        <v>99</v>
      </c>
      <c r="C108" s="60">
        <f>(C106/C107)*365</f>
        <v>152.24275862068964</v>
      </c>
      <c r="D108" s="60">
        <f>C108</f>
        <v>152.24275862068964</v>
      </c>
      <c r="E108" s="60">
        <f>D108</f>
        <v>152.24275862068964</v>
      </c>
      <c r="F108" s="62"/>
      <c r="H108"/>
      <c r="I108"/>
      <c r="K108"/>
      <c r="L108"/>
    </row>
    <row r="109" spans="1:12" x14ac:dyDescent="0.35">
      <c r="F109" s="61"/>
      <c r="H109"/>
      <c r="I109"/>
      <c r="K109"/>
      <c r="L109"/>
    </row>
    <row r="110" spans="1:12" x14ac:dyDescent="0.35">
      <c r="A110" s="2" t="s">
        <v>98</v>
      </c>
      <c r="C110" s="3">
        <f>C39</f>
        <v>9494</v>
      </c>
      <c r="D110" s="62">
        <f>(D111*D112)/365</f>
        <v>9592.9468027533749</v>
      </c>
      <c r="E110" s="62">
        <f>(E111*E112)/365</f>
        <v>9874.7242865998869</v>
      </c>
      <c r="F110" s="60"/>
      <c r="H110"/>
      <c r="I110"/>
      <c r="K110"/>
      <c r="L110"/>
    </row>
    <row r="111" spans="1:12" x14ac:dyDescent="0.35">
      <c r="A111" s="2" t="s">
        <v>97</v>
      </c>
      <c r="C111" s="61">
        <f>-C7</f>
        <v>7250</v>
      </c>
      <c r="D111" s="61">
        <f>-D7</f>
        <v>7325.5597556311322</v>
      </c>
      <c r="E111" s="61">
        <f>-E7</f>
        <v>7540.7363680060234</v>
      </c>
      <c r="F111" s="60"/>
      <c r="H111"/>
      <c r="I111"/>
      <c r="K111"/>
      <c r="L111"/>
    </row>
    <row r="112" spans="1:12" x14ac:dyDescent="0.35">
      <c r="A112" s="2" t="s">
        <v>96</v>
      </c>
      <c r="C112" s="60">
        <f>(C110/C111)*365</f>
        <v>477.97379310344826</v>
      </c>
      <c r="D112" s="60">
        <f>C112</f>
        <v>477.97379310344826</v>
      </c>
      <c r="E112" s="60">
        <f>D112</f>
        <v>477.97379310344826</v>
      </c>
      <c r="F112" s="60"/>
      <c r="H112"/>
      <c r="I112"/>
      <c r="K112"/>
      <c r="L112"/>
    </row>
    <row r="113" spans="1:12" collapsed="1" x14ac:dyDescent="0.35">
      <c r="H113"/>
      <c r="I113"/>
      <c r="K113"/>
      <c r="L113"/>
    </row>
    <row r="114" spans="1:12" x14ac:dyDescent="0.35">
      <c r="A114" s="31" t="s">
        <v>95</v>
      </c>
      <c r="B114" s="30"/>
      <c r="C114" s="11"/>
      <c r="D114" s="11" t="s">
        <v>6</v>
      </c>
      <c r="E114" s="11" t="s">
        <v>5</v>
      </c>
      <c r="F114" s="22"/>
      <c r="H114"/>
      <c r="I114"/>
      <c r="K114"/>
      <c r="L114"/>
    </row>
    <row r="115" spans="1:12" x14ac:dyDescent="0.35">
      <c r="A115" s="2" t="s">
        <v>180</v>
      </c>
      <c r="C115"/>
      <c r="D115" s="47">
        <f ca="1">D22+D98</f>
        <v>38499.38467429945</v>
      </c>
      <c r="E115" s="47">
        <f ca="1">E22+E98</f>
        <v>46253.553000853426</v>
      </c>
      <c r="F115" s="47"/>
      <c r="H115"/>
      <c r="I115"/>
      <c r="K115"/>
      <c r="L115"/>
    </row>
    <row r="116" spans="1:12" x14ac:dyDescent="0.35">
      <c r="A116" s="2" t="s">
        <v>93</v>
      </c>
      <c r="C116"/>
      <c r="D116" s="37">
        <f ca="1">-D25*D23</f>
        <v>-37291.079218725157</v>
      </c>
      <c r="E116" s="37">
        <f ca="1">-E25*E23</f>
        <v>-44783.180398608623</v>
      </c>
      <c r="F116" s="36"/>
      <c r="H116"/>
      <c r="I116"/>
      <c r="K116"/>
      <c r="L116"/>
    </row>
    <row r="117" spans="1:12" x14ac:dyDescent="0.35">
      <c r="A117" s="2" t="s">
        <v>92</v>
      </c>
      <c r="C117"/>
      <c r="D117" s="47">
        <f ca="1">SUM(D115:D116)</f>
        <v>1208.3054555742929</v>
      </c>
      <c r="E117" s="47">
        <f ca="1">SUM(E115:E116)</f>
        <v>1470.3726022448027</v>
      </c>
      <c r="F117" s="47"/>
      <c r="H117"/>
      <c r="I117"/>
      <c r="K117"/>
      <c r="L117"/>
    </row>
    <row r="118" spans="1:12" ht="5.15" customHeight="1" x14ac:dyDescent="0.35">
      <c r="C118"/>
      <c r="D118" s="59"/>
      <c r="E118" s="59"/>
      <c r="F118" s="59"/>
      <c r="H118"/>
      <c r="I118"/>
      <c r="K118"/>
      <c r="L118"/>
    </row>
    <row r="119" spans="1:12" x14ac:dyDescent="0.35">
      <c r="A119" s="58" t="s">
        <v>91</v>
      </c>
      <c r="C119"/>
      <c r="D119" s="53"/>
      <c r="E119" s="53"/>
      <c r="F119" s="53"/>
      <c r="H119"/>
      <c r="I119"/>
      <c r="K119"/>
      <c r="L119"/>
    </row>
    <row r="120" spans="1:12" x14ac:dyDescent="0.35">
      <c r="A120" s="2" t="s">
        <v>90</v>
      </c>
      <c r="C120"/>
      <c r="D120" s="55">
        <f t="shared" ref="D120:E124" si="0">-(D29-C29)</f>
        <v>-72500</v>
      </c>
      <c r="E120" s="55">
        <f t="shared" si="0"/>
        <v>-72500</v>
      </c>
      <c r="F120" s="33"/>
      <c r="H120"/>
      <c r="I120"/>
      <c r="K120"/>
      <c r="L120"/>
    </row>
    <row r="121" spans="1:12" x14ac:dyDescent="0.35">
      <c r="A121" s="1" t="s">
        <v>89</v>
      </c>
      <c r="C121"/>
      <c r="D121" s="55">
        <f t="shared" si="0"/>
        <v>1484.1450000000004</v>
      </c>
      <c r="E121" s="55">
        <f t="shared" si="0"/>
        <v>-363.1304999999993</v>
      </c>
      <c r="F121" s="33"/>
      <c r="H121"/>
      <c r="I121"/>
      <c r="K121"/>
      <c r="L121"/>
    </row>
    <row r="122" spans="1:12" x14ac:dyDescent="0.35">
      <c r="A122" s="1" t="s">
        <v>88</v>
      </c>
      <c r="C122"/>
      <c r="D122" s="55">
        <f t="shared" si="0"/>
        <v>-2431.321117817517</v>
      </c>
      <c r="E122" s="55">
        <f t="shared" si="0"/>
        <v>-2312.173485635034</v>
      </c>
      <c r="F122" s="33"/>
      <c r="H122"/>
      <c r="I122"/>
      <c r="K122"/>
      <c r="L122"/>
    </row>
    <row r="123" spans="1:12" x14ac:dyDescent="0.35">
      <c r="A123" s="1" t="s">
        <v>87</v>
      </c>
      <c r="C123"/>
      <c r="D123" s="55">
        <f t="shared" si="0"/>
        <v>0</v>
      </c>
      <c r="E123" s="55">
        <f t="shared" si="0"/>
        <v>0</v>
      </c>
      <c r="F123" s="33"/>
      <c r="H123"/>
      <c r="I123"/>
      <c r="K123"/>
      <c r="L123"/>
    </row>
    <row r="124" spans="1:12" x14ac:dyDescent="0.35">
      <c r="A124" s="1" t="s">
        <v>86</v>
      </c>
      <c r="C124"/>
      <c r="D124" s="55">
        <f t="shared" si="0"/>
        <v>-603.6558632455617</v>
      </c>
      <c r="E124" s="55">
        <f t="shared" si="0"/>
        <v>-934.96484375603359</v>
      </c>
      <c r="F124" s="33"/>
      <c r="H124"/>
      <c r="I124"/>
      <c r="K124"/>
      <c r="L124"/>
    </row>
    <row r="125" spans="1:12" x14ac:dyDescent="0.35">
      <c r="A125" s="1" t="s">
        <v>85</v>
      </c>
      <c r="C125"/>
      <c r="D125" s="55">
        <f t="shared" ref="D125:E127" si="1">(D38-C38)</f>
        <v>0</v>
      </c>
      <c r="E125" s="55">
        <f t="shared" si="1"/>
        <v>0</v>
      </c>
      <c r="F125" s="33"/>
      <c r="H125"/>
      <c r="I125"/>
      <c r="K125"/>
      <c r="L125"/>
    </row>
    <row r="126" spans="1:12" x14ac:dyDescent="0.35">
      <c r="A126" s="1" t="s">
        <v>84</v>
      </c>
      <c r="C126"/>
      <c r="D126" s="55">
        <f t="shared" si="1"/>
        <v>98.946802753374868</v>
      </c>
      <c r="E126" s="55">
        <f t="shared" si="1"/>
        <v>281.77748384651204</v>
      </c>
      <c r="F126" s="33"/>
      <c r="H126"/>
      <c r="I126"/>
      <c r="K126"/>
      <c r="L126"/>
    </row>
    <row r="127" spans="1:12" x14ac:dyDescent="0.35">
      <c r="A127" s="1" t="s">
        <v>83</v>
      </c>
      <c r="C127"/>
      <c r="D127" s="57">
        <f t="shared" si="1"/>
        <v>31.516234624626122</v>
      </c>
      <c r="E127" s="57">
        <f t="shared" si="1"/>
        <v>89.750907009886305</v>
      </c>
      <c r="F127" s="56"/>
      <c r="H127"/>
      <c r="I127"/>
      <c r="K127"/>
      <c r="L127"/>
    </row>
    <row r="128" spans="1:12" x14ac:dyDescent="0.35">
      <c r="A128" s="2" t="s">
        <v>82</v>
      </c>
      <c r="C128"/>
      <c r="D128" s="55">
        <f>SUM(D120:D127)</f>
        <v>-73920.368943685069</v>
      </c>
      <c r="E128" s="55">
        <f>SUM(E120:E127)</f>
        <v>-75738.740438534674</v>
      </c>
      <c r="F128" s="33"/>
      <c r="H128"/>
      <c r="I128"/>
      <c r="K128"/>
      <c r="L128"/>
    </row>
    <row r="129" spans="1:12" ht="5.15" customHeight="1" x14ac:dyDescent="0.35">
      <c r="C129"/>
      <c r="D129" s="54"/>
      <c r="E129" s="54"/>
      <c r="F129" s="53"/>
      <c r="H129"/>
      <c r="I129"/>
      <c r="K129"/>
      <c r="L129"/>
    </row>
    <row r="130" spans="1:12" x14ac:dyDescent="0.35">
      <c r="A130" s="2" t="s">
        <v>81</v>
      </c>
      <c r="C130"/>
      <c r="D130" s="52">
        <f ca="1">D117+D128</f>
        <v>-72712.063488110784</v>
      </c>
      <c r="E130" s="52">
        <f ca="1">E117+E128</f>
        <v>-74268.367836289864</v>
      </c>
      <c r="F130" s="47"/>
      <c r="G130"/>
      <c r="H130"/>
      <c r="I130"/>
      <c r="K130"/>
      <c r="L130"/>
    </row>
    <row r="131" spans="1:12" collapsed="1" x14ac:dyDescent="0.35">
      <c r="C131" s="51"/>
      <c r="D131" s="10"/>
      <c r="E131" s="10"/>
      <c r="F131" s="10"/>
      <c r="G131"/>
      <c r="H131"/>
      <c r="I131"/>
      <c r="K131"/>
      <c r="L131"/>
    </row>
    <row r="132" spans="1:12" x14ac:dyDescent="0.35">
      <c r="A132" s="31" t="s">
        <v>80</v>
      </c>
      <c r="B132" s="30"/>
      <c r="C132" s="11" t="s">
        <v>7</v>
      </c>
      <c r="D132" s="11" t="s">
        <v>6</v>
      </c>
      <c r="E132" s="11" t="s">
        <v>5</v>
      </c>
      <c r="F132" s="22"/>
      <c r="G132"/>
      <c r="H132"/>
      <c r="I132"/>
      <c r="K132"/>
      <c r="L132"/>
    </row>
    <row r="133" spans="1:12" x14ac:dyDescent="0.35">
      <c r="A133" s="2" t="s">
        <v>79</v>
      </c>
      <c r="C133" s="39"/>
      <c r="D133" s="33">
        <f>C139</f>
        <v>120788</v>
      </c>
      <c r="E133" s="33">
        <f ca="1">D139</f>
        <v>48075.936511889216</v>
      </c>
      <c r="F133" s="33"/>
      <c r="G133"/>
      <c r="H133"/>
      <c r="I133"/>
      <c r="K133"/>
      <c r="L133"/>
    </row>
    <row r="134" spans="1:12" x14ac:dyDescent="0.35">
      <c r="A134" s="2" t="s">
        <v>78</v>
      </c>
      <c r="C134" s="48"/>
      <c r="D134" s="37">
        <f ca="1">D130</f>
        <v>-72712.063488110784</v>
      </c>
      <c r="E134" s="37">
        <f ca="1">E130</f>
        <v>-74268.367836289864</v>
      </c>
      <c r="F134" s="36"/>
      <c r="G134"/>
      <c r="H134"/>
      <c r="I134"/>
      <c r="K134"/>
      <c r="L134"/>
    </row>
    <row r="135" spans="1:12" x14ac:dyDescent="0.35">
      <c r="A135" s="2" t="s">
        <v>77</v>
      </c>
      <c r="C135" s="39"/>
      <c r="D135" s="47">
        <f ca="1">SUM(D133:D134)</f>
        <v>48075.936511889216</v>
      </c>
      <c r="E135" s="47">
        <f ca="1">SUM(E133:E134)</f>
        <v>-26192.431324400648</v>
      </c>
      <c r="F135" s="47"/>
      <c r="G135"/>
      <c r="H135"/>
      <c r="I135"/>
      <c r="K135"/>
      <c r="L135"/>
    </row>
    <row r="136" spans="1:12" x14ac:dyDescent="0.35">
      <c r="A136" s="50" t="s">
        <v>76</v>
      </c>
      <c r="C136" s="48"/>
      <c r="D136" s="49">
        <v>10000</v>
      </c>
      <c r="E136" s="49">
        <v>10000</v>
      </c>
      <c r="F136" s="49"/>
      <c r="H136"/>
      <c r="I136"/>
      <c r="K136"/>
      <c r="L136"/>
    </row>
    <row r="137" spans="1:12" x14ac:dyDescent="0.35">
      <c r="A137" s="2" t="s">
        <v>75</v>
      </c>
      <c r="C137" s="48"/>
      <c r="D137" s="47">
        <f ca="1">MAX(-D135+D136,0)</f>
        <v>0</v>
      </c>
      <c r="E137" s="47">
        <f ca="1">MAX(-E135+E136,0)</f>
        <v>36192.431324400648</v>
      </c>
      <c r="F137"/>
      <c r="G137" s="46" t="s">
        <v>74</v>
      </c>
      <c r="H137"/>
      <c r="I137"/>
      <c r="K137"/>
      <c r="L137"/>
    </row>
    <row r="138" spans="1:12" x14ac:dyDescent="0.35">
      <c r="A138" s="2" t="s">
        <v>73</v>
      </c>
      <c r="C138" s="38"/>
      <c r="D138" s="37">
        <f ca="1">IF(D137=0,-MIN(D135-D136,C146),0)*$G$138</f>
        <v>0</v>
      </c>
      <c r="E138" s="37">
        <f ca="1">IF(E137=0,-MIN(E135-E136,D146),0)*$G$138</f>
        <v>0</v>
      </c>
      <c r="F138"/>
      <c r="G138" s="45">
        <v>0</v>
      </c>
      <c r="H138"/>
      <c r="I138"/>
      <c r="K138"/>
      <c r="L138"/>
    </row>
    <row r="139" spans="1:12" x14ac:dyDescent="0.35">
      <c r="A139" s="2" t="s">
        <v>72</v>
      </c>
      <c r="C139" s="33">
        <f>C34</f>
        <v>120788</v>
      </c>
      <c r="D139" s="33">
        <f ca="1">SUM(D135,D137,D138)</f>
        <v>48075.936511889216</v>
      </c>
      <c r="E139" s="33">
        <f ca="1">SUM(E135,E137,E138)</f>
        <v>10000</v>
      </c>
      <c r="F139"/>
      <c r="G139" s="44" t="s">
        <v>71</v>
      </c>
      <c r="H139"/>
      <c r="I139"/>
      <c r="K139"/>
      <c r="L139"/>
    </row>
    <row r="140" spans="1:12" x14ac:dyDescent="0.35">
      <c r="A140" s="2" t="s">
        <v>70</v>
      </c>
      <c r="C140" s="43"/>
      <c r="D140" s="42">
        <v>5.0000000000000001E-3</v>
      </c>
      <c r="E140" s="42">
        <v>5.0000000000000001E-3</v>
      </c>
      <c r="F140" s="41"/>
      <c r="H140"/>
      <c r="I140"/>
      <c r="K140"/>
      <c r="L140"/>
    </row>
    <row r="141" spans="1:12" x14ac:dyDescent="0.35">
      <c r="A141" s="2" t="s">
        <v>69</v>
      </c>
      <c r="C141" s="33"/>
      <c r="D141" s="33">
        <f ca="1">AVERAGE(D139,D133)*D140</f>
        <v>422.15984127972303</v>
      </c>
      <c r="E141" s="33">
        <f ca="1">AVERAGE(E139,E133)*E140</f>
        <v>145.18984127972305</v>
      </c>
      <c r="F141" s="34"/>
      <c r="H141"/>
      <c r="I141"/>
      <c r="K141"/>
      <c r="L141"/>
    </row>
    <row r="142" spans="1:12" x14ac:dyDescent="0.35">
      <c r="C142" s="33"/>
      <c r="D142" s="33"/>
      <c r="E142" s="33"/>
      <c r="F142" s="3"/>
      <c r="H142"/>
      <c r="I142"/>
      <c r="K142"/>
      <c r="L142"/>
    </row>
    <row r="143" spans="1:12" x14ac:dyDescent="0.35">
      <c r="A143" s="31" t="s">
        <v>68</v>
      </c>
      <c r="B143" s="30"/>
      <c r="C143" s="40" t="s">
        <v>7</v>
      </c>
      <c r="D143" s="40" t="s">
        <v>6</v>
      </c>
      <c r="E143" s="40" t="s">
        <v>5</v>
      </c>
      <c r="F143" s="22"/>
      <c r="H143"/>
      <c r="I143"/>
      <c r="K143"/>
      <c r="L143"/>
    </row>
    <row r="144" spans="1:12" x14ac:dyDescent="0.35">
      <c r="A144" s="2" t="s">
        <v>67</v>
      </c>
      <c r="C144" s="39"/>
      <c r="D144" s="33">
        <f>C146</f>
        <v>794206</v>
      </c>
      <c r="E144" s="33">
        <f ca="1">D146</f>
        <v>794206</v>
      </c>
      <c r="F144" s="33"/>
      <c r="H144"/>
      <c r="I144"/>
      <c r="K144"/>
      <c r="L144"/>
    </row>
    <row r="145" spans="1:12" x14ac:dyDescent="0.35">
      <c r="A145" s="2" t="s">
        <v>66</v>
      </c>
      <c r="C145" s="38"/>
      <c r="D145" s="37">
        <f ca="1">SUM(D137:D138)</f>
        <v>0</v>
      </c>
      <c r="E145" s="37">
        <f ca="1">SUM(E137:E138)</f>
        <v>36192.431324400648</v>
      </c>
      <c r="F145" s="36"/>
      <c r="H145"/>
      <c r="I145"/>
      <c r="K145"/>
      <c r="L145"/>
    </row>
    <row r="146" spans="1:12" x14ac:dyDescent="0.35">
      <c r="A146" s="2" t="s">
        <v>65</v>
      </c>
      <c r="C146" s="33">
        <f>C37</f>
        <v>794206</v>
      </c>
      <c r="D146" s="33">
        <f ca="1">SUM(D144:D145)</f>
        <v>794206</v>
      </c>
      <c r="E146" s="33">
        <f ca="1">SUM(E144:E145)</f>
        <v>830398.43132440071</v>
      </c>
      <c r="F146" s="33"/>
      <c r="H146"/>
      <c r="I146"/>
      <c r="K146"/>
      <c r="L146"/>
    </row>
    <row r="147" spans="1:12" x14ac:dyDescent="0.35">
      <c r="A147" s="2" t="s">
        <v>51</v>
      </c>
      <c r="C147" s="34"/>
      <c r="D147" s="35">
        <f ca="1">D176</f>
        <v>4.399967109184099E-2</v>
      </c>
      <c r="E147" s="35">
        <f ca="1">E176</f>
        <v>4.2206130485691773E-2</v>
      </c>
      <c r="F147" s="14"/>
      <c r="H147"/>
      <c r="I147"/>
      <c r="K147"/>
      <c r="L147"/>
    </row>
    <row r="148" spans="1:12" x14ac:dyDescent="0.35">
      <c r="A148" s="2" t="s">
        <v>64</v>
      </c>
      <c r="C148" s="34"/>
      <c r="D148" s="33">
        <f ca="1">AVERAGE(D144,D146)*D147</f>
        <v>34944.802779166668</v>
      </c>
      <c r="E148" s="33">
        <f ca="1">AVERAGE(E144,E146)*E147</f>
        <v>34284.133308055367</v>
      </c>
      <c r="F148" s="33"/>
      <c r="H148"/>
      <c r="I148"/>
      <c r="K148"/>
      <c r="L148"/>
    </row>
    <row r="149" spans="1:12" x14ac:dyDescent="0.35">
      <c r="C149" s="3"/>
      <c r="D149" s="3"/>
      <c r="E149" s="3"/>
      <c r="F149" s="3"/>
      <c r="H149"/>
      <c r="I149"/>
      <c r="K149"/>
      <c r="L149"/>
    </row>
    <row r="150" spans="1:12" x14ac:dyDescent="0.35">
      <c r="A150" s="2" t="s">
        <v>63</v>
      </c>
      <c r="C150" s="3">
        <f>C218</f>
        <v>652685</v>
      </c>
      <c r="D150" s="3">
        <f ca="1">MAX(C150+D138-(D160-C160)-(D155-C155),0)</f>
        <v>652685</v>
      </c>
      <c r="E150" s="3">
        <f ca="1">MAX(D150+E138-(E160-D160)-(E155-D155),0)</f>
        <v>652685</v>
      </c>
      <c r="F150" s="3"/>
      <c r="H150"/>
      <c r="I150"/>
      <c r="K150"/>
      <c r="L150"/>
    </row>
    <row r="151" spans="1:12" x14ac:dyDescent="0.35">
      <c r="A151" s="2" t="s">
        <v>62</v>
      </c>
      <c r="C151" s="3">
        <v>0</v>
      </c>
      <c r="D151" s="4">
        <f>D219</f>
        <v>3.2615098156078354E-2</v>
      </c>
      <c r="E151" s="4">
        <f>E219</f>
        <v>3.2615098156078354E-2</v>
      </c>
      <c r="F151" s="4"/>
      <c r="H151"/>
      <c r="I151"/>
      <c r="K151"/>
      <c r="L151"/>
    </row>
    <row r="152" spans="1:12" x14ac:dyDescent="0.35">
      <c r="A152" s="2" t="s">
        <v>17</v>
      </c>
      <c r="C152" s="7">
        <v>0</v>
      </c>
      <c r="D152" s="16">
        <f ca="1">D211</f>
        <v>1.4718410588688578E-2</v>
      </c>
      <c r="E152" s="16">
        <f ca="1">E211</f>
        <v>1.4718410588688578E-2</v>
      </c>
      <c r="F152" s="15"/>
      <c r="H152"/>
      <c r="I152"/>
      <c r="K152"/>
      <c r="L152"/>
    </row>
    <row r="153" spans="1:12" x14ac:dyDescent="0.35">
      <c r="A153" s="2" t="s">
        <v>61</v>
      </c>
      <c r="C153" s="3">
        <v>0</v>
      </c>
      <c r="D153" s="4">
        <f ca="1">D152+D151</f>
        <v>4.7333508744766932E-2</v>
      </c>
      <c r="E153" s="4">
        <f ca="1">E152+E151</f>
        <v>4.7333508744766932E-2</v>
      </c>
      <c r="F153" s="4"/>
      <c r="H153"/>
      <c r="I153"/>
      <c r="K153"/>
      <c r="L153"/>
    </row>
    <row r="154" spans="1:12" x14ac:dyDescent="0.35">
      <c r="C154" s="3"/>
      <c r="D154" s="4"/>
      <c r="E154" s="4"/>
      <c r="F154" s="4"/>
    </row>
    <row r="155" spans="1:12" x14ac:dyDescent="0.35">
      <c r="A155" s="2" t="s">
        <v>60</v>
      </c>
      <c r="C155" s="3">
        <f>C225</f>
        <v>108788</v>
      </c>
      <c r="D155" s="3">
        <f ca="1">MAX(C155+D138-(D160-C160),0)</f>
        <v>108788</v>
      </c>
      <c r="E155" s="3">
        <f ca="1">MAX(D155+E138-(E160-D160),0)</f>
        <v>108788</v>
      </c>
      <c r="F155" s="3"/>
    </row>
    <row r="156" spans="1:12" x14ac:dyDescent="0.35">
      <c r="A156" s="2" t="s">
        <v>59</v>
      </c>
      <c r="C156" s="3">
        <v>0</v>
      </c>
      <c r="D156" s="4">
        <f>MIN(D192,D226)</f>
        <v>1.3905833333333334E-2</v>
      </c>
      <c r="E156" s="4">
        <f>MIN(E192,E226)</f>
        <v>8.0900000000000069E-3</v>
      </c>
      <c r="F156" s="4"/>
    </row>
    <row r="157" spans="1:12" x14ac:dyDescent="0.35">
      <c r="A157" s="2" t="s">
        <v>17</v>
      </c>
      <c r="C157" s="7">
        <v>0</v>
      </c>
      <c r="D157" s="16">
        <f ca="1">D211</f>
        <v>1.4718410588688578E-2</v>
      </c>
      <c r="E157" s="16">
        <f ca="1">E211</f>
        <v>1.4718410588688578E-2</v>
      </c>
      <c r="F157" s="15"/>
    </row>
    <row r="158" spans="1:12" x14ac:dyDescent="0.35">
      <c r="A158" s="2" t="s">
        <v>58</v>
      </c>
      <c r="C158" s="3">
        <v>0</v>
      </c>
      <c r="D158" s="4">
        <f ca="1">D157+D156</f>
        <v>2.8624243922021911E-2</v>
      </c>
      <c r="E158" s="4">
        <f ca="1">E157+E156</f>
        <v>2.2808410588688585E-2</v>
      </c>
      <c r="F158" s="4"/>
    </row>
    <row r="159" spans="1:12" x14ac:dyDescent="0.35">
      <c r="C159" s="32"/>
      <c r="D159" s="4"/>
      <c r="E159" s="4"/>
      <c r="F159" s="4"/>
    </row>
    <row r="160" spans="1:12" x14ac:dyDescent="0.35">
      <c r="A160" s="2" t="s">
        <v>57</v>
      </c>
      <c r="C160" s="3">
        <f>C146-C150-C155</f>
        <v>32733</v>
      </c>
      <c r="D160" s="3">
        <f ca="1">MAX(C160+D138,0)</f>
        <v>32733</v>
      </c>
      <c r="E160" s="3">
        <f ca="1">MAX(D160+E138,0)</f>
        <v>32733</v>
      </c>
      <c r="F160" s="3"/>
    </row>
    <row r="161" spans="1:6" x14ac:dyDescent="0.35">
      <c r="A161" s="2" t="s">
        <v>54</v>
      </c>
      <c r="C161" s="3">
        <v>0</v>
      </c>
      <c r="D161" s="4">
        <f>D192</f>
        <v>1.3905833333333334E-2</v>
      </c>
      <c r="E161" s="4">
        <f>E192</f>
        <v>8.0900000000000069E-3</v>
      </c>
      <c r="F161" s="4"/>
    </row>
    <row r="162" spans="1:6" x14ac:dyDescent="0.35">
      <c r="A162" s="2" t="s">
        <v>17</v>
      </c>
      <c r="C162" s="7">
        <v>0</v>
      </c>
      <c r="D162" s="16">
        <f ca="1">D211</f>
        <v>1.4718410588688578E-2</v>
      </c>
      <c r="E162" s="16">
        <f ca="1">E211</f>
        <v>1.4718410588688578E-2</v>
      </c>
      <c r="F162" s="15"/>
    </row>
    <row r="163" spans="1:6" x14ac:dyDescent="0.35">
      <c r="A163" s="2" t="s">
        <v>53</v>
      </c>
      <c r="C163" s="3">
        <v>0</v>
      </c>
      <c r="D163" s="4">
        <f ca="1">D162+D161</f>
        <v>2.8624243922021911E-2</v>
      </c>
      <c r="E163" s="4">
        <f ca="1">E162+E161</f>
        <v>2.2808410588688585E-2</v>
      </c>
      <c r="F163" s="4"/>
    </row>
    <row r="164" spans="1:6" x14ac:dyDescent="0.35">
      <c r="C164" s="32"/>
      <c r="D164" s="4"/>
      <c r="E164" s="4"/>
      <c r="F164" s="4"/>
    </row>
    <row r="165" spans="1:6" x14ac:dyDescent="0.35">
      <c r="A165" s="2" t="s">
        <v>56</v>
      </c>
      <c r="C165" s="3">
        <v>0</v>
      </c>
      <c r="D165" s="3">
        <f ca="1">D137</f>
        <v>0</v>
      </c>
      <c r="E165" s="3">
        <f ca="1">D165</f>
        <v>0</v>
      </c>
      <c r="F165" s="3"/>
    </row>
    <row r="166" spans="1:6" x14ac:dyDescent="0.35">
      <c r="A166" s="2" t="s">
        <v>54</v>
      </c>
      <c r="C166" s="3">
        <v>0</v>
      </c>
      <c r="D166" s="4">
        <f>D192</f>
        <v>1.3905833333333334E-2</v>
      </c>
      <c r="E166" s="4">
        <f>D166</f>
        <v>1.3905833333333334E-2</v>
      </c>
      <c r="F166" s="4"/>
    </row>
    <row r="167" spans="1:6" x14ac:dyDescent="0.35">
      <c r="A167" s="2" t="s">
        <v>17</v>
      </c>
      <c r="C167" s="7">
        <v>0</v>
      </c>
      <c r="D167" s="6">
        <v>1.4999999999999999E-2</v>
      </c>
      <c r="E167" s="6">
        <v>1.4999999999999999E-2</v>
      </c>
      <c r="F167" s="5"/>
    </row>
    <row r="168" spans="1:6" x14ac:dyDescent="0.35">
      <c r="A168" s="2" t="s">
        <v>53</v>
      </c>
      <c r="C168" s="3">
        <v>0</v>
      </c>
      <c r="D168" s="4">
        <f>D167+D166</f>
        <v>2.8905833333333332E-2</v>
      </c>
      <c r="E168" s="4">
        <f>E167+E166</f>
        <v>2.8905833333333332E-2</v>
      </c>
      <c r="F168" s="4"/>
    </row>
    <row r="169" spans="1:6" x14ac:dyDescent="0.35">
      <c r="C169" s="32"/>
      <c r="D169" s="3"/>
      <c r="E169" s="3"/>
      <c r="F169" s="3"/>
    </row>
    <row r="170" spans="1:6" x14ac:dyDescent="0.35">
      <c r="A170" s="2" t="s">
        <v>55</v>
      </c>
      <c r="C170" s="3">
        <v>0</v>
      </c>
      <c r="D170" s="3">
        <v>0</v>
      </c>
      <c r="E170" s="3">
        <f ca="1">E137</f>
        <v>36192.431324400648</v>
      </c>
      <c r="F170" s="3"/>
    </row>
    <row r="171" spans="1:6" x14ac:dyDescent="0.35">
      <c r="A171" s="2" t="s">
        <v>54</v>
      </c>
      <c r="C171" s="3">
        <v>0</v>
      </c>
      <c r="D171" s="3">
        <v>0</v>
      </c>
      <c r="E171" s="4">
        <f>E192</f>
        <v>8.0900000000000069E-3</v>
      </c>
      <c r="F171" s="4"/>
    </row>
    <row r="172" spans="1:6" x14ac:dyDescent="0.35">
      <c r="A172" s="2" t="s">
        <v>17</v>
      </c>
      <c r="C172" s="7">
        <v>0</v>
      </c>
      <c r="D172" s="7">
        <v>0</v>
      </c>
      <c r="E172" s="6">
        <v>1.7500000000000002E-2</v>
      </c>
      <c r="F172" s="5"/>
    </row>
    <row r="173" spans="1:6" x14ac:dyDescent="0.35">
      <c r="A173" s="2" t="s">
        <v>53</v>
      </c>
      <c r="C173" s="3">
        <v>0</v>
      </c>
      <c r="D173" s="3">
        <v>0</v>
      </c>
      <c r="E173" s="4">
        <f>E172+E171</f>
        <v>2.5590000000000009E-2</v>
      </c>
      <c r="F173" s="4"/>
    </row>
    <row r="174" spans="1:6" x14ac:dyDescent="0.35">
      <c r="C174" s="32"/>
      <c r="D174" s="32"/>
      <c r="E174" s="4"/>
      <c r="F174" s="4"/>
    </row>
    <row r="175" spans="1:6" x14ac:dyDescent="0.35">
      <c r="A175" s="2" t="s">
        <v>52</v>
      </c>
      <c r="C175" s="3">
        <f>SUM(C150,C155,C160,C165,C170)</f>
        <v>794206</v>
      </c>
      <c r="D175" s="3">
        <f ca="1">SUM(D150,D155,D160,D165,D170)</f>
        <v>794206</v>
      </c>
      <c r="E175" s="3">
        <f ca="1">SUM(E150,E155,E160,E165,E170)</f>
        <v>830398.43132440071</v>
      </c>
      <c r="F175" s="3"/>
    </row>
    <row r="176" spans="1:6" x14ac:dyDescent="0.35">
      <c r="A176" s="2" t="s">
        <v>51</v>
      </c>
      <c r="C176" s="32"/>
      <c r="D176" s="4">
        <f ca="1">(D150*D153+D155*D158+D160*D163+D165*D168+D170*D173)/D175</f>
        <v>4.399967109184099E-2</v>
      </c>
      <c r="E176" s="4">
        <f ca="1">(E150*E153+E155*E158+E160*E163+E165*E168+E170*E173)/E175</f>
        <v>4.2206130485691773E-2</v>
      </c>
      <c r="F176" s="4"/>
    </row>
    <row r="177" spans="1:11" x14ac:dyDescent="0.35">
      <c r="A177" s="1"/>
    </row>
    <row r="178" spans="1:11" x14ac:dyDescent="0.35">
      <c r="A178" s="31" t="s">
        <v>50</v>
      </c>
      <c r="B178" s="30"/>
      <c r="C178" s="11" t="s">
        <v>7</v>
      </c>
      <c r="D178" s="11" t="s">
        <v>6</v>
      </c>
      <c r="E178" s="11" t="s">
        <v>5</v>
      </c>
      <c r="F178" s="22"/>
    </row>
    <row r="179" spans="1:11" x14ac:dyDescent="0.35">
      <c r="A179" s="29" t="s">
        <v>49</v>
      </c>
      <c r="B179" s="23"/>
      <c r="C179" s="22"/>
      <c r="D179" s="22"/>
      <c r="K179"/>
    </row>
    <row r="180" spans="1:11" x14ac:dyDescent="0.35">
      <c r="A180" s="24" t="s">
        <v>48</v>
      </c>
      <c r="B180" s="23"/>
      <c r="C180" s="22"/>
      <c r="D180" s="27">
        <v>1.017E-2</v>
      </c>
      <c r="E180" s="27">
        <v>1.222E-2</v>
      </c>
      <c r="F180" s="27"/>
      <c r="K180"/>
    </row>
    <row r="181" spans="1:11" x14ac:dyDescent="0.35">
      <c r="A181" s="24" t="s">
        <v>47</v>
      </c>
      <c r="B181" s="23"/>
      <c r="C181" s="22"/>
      <c r="D181" s="27">
        <v>1.0869999999999999E-2</v>
      </c>
      <c r="E181" s="27">
        <v>1.048E-2</v>
      </c>
      <c r="F181" s="27"/>
      <c r="K181"/>
    </row>
    <row r="182" spans="1:11" x14ac:dyDescent="0.35">
      <c r="A182" s="24" t="s">
        <v>46</v>
      </c>
      <c r="B182" s="23"/>
      <c r="C182" s="22"/>
      <c r="D182" s="27">
        <v>1.176E-2</v>
      </c>
      <c r="E182" s="27">
        <f>(100-99.14)%</f>
        <v>8.5999999999999948E-3</v>
      </c>
      <c r="F182" s="27"/>
      <c r="K182"/>
    </row>
    <row r="183" spans="1:11" x14ac:dyDescent="0.35">
      <c r="A183" s="24" t="s">
        <v>45</v>
      </c>
      <c r="B183" s="23"/>
      <c r="C183" s="22"/>
      <c r="D183" s="27">
        <v>1.321E-2</v>
      </c>
      <c r="E183" s="27">
        <f>(100-99.21)%</f>
        <v>7.9000000000000632E-3</v>
      </c>
      <c r="F183" s="27"/>
      <c r="K183"/>
    </row>
    <row r="184" spans="1:11" x14ac:dyDescent="0.35">
      <c r="A184" s="24" t="s">
        <v>44</v>
      </c>
      <c r="B184" s="23"/>
      <c r="C184" s="22"/>
      <c r="D184" s="27">
        <v>1.4250000000000001E-2</v>
      </c>
      <c r="E184" s="27">
        <f>(100-99.26)%</f>
        <v>7.3999999999999492E-3</v>
      </c>
      <c r="F184" s="27"/>
      <c r="K184"/>
    </row>
    <row r="185" spans="1:11" x14ac:dyDescent="0.35">
      <c r="A185" s="24" t="s">
        <v>43</v>
      </c>
      <c r="B185" s="23"/>
      <c r="C185" s="22"/>
      <c r="D185" s="27">
        <v>1.489E-2</v>
      </c>
      <c r="E185" s="27">
        <f>(100-99.3)%</f>
        <v>7.0000000000000288E-3</v>
      </c>
      <c r="F185" s="27"/>
      <c r="K185"/>
    </row>
    <row r="186" spans="1:11" x14ac:dyDescent="0.35">
      <c r="A186" s="24" t="s">
        <v>42</v>
      </c>
      <c r="B186" s="23"/>
      <c r="C186" s="22"/>
      <c r="D186" s="27">
        <v>1.5980000000000001E-2</v>
      </c>
      <c r="E186" s="27">
        <f>(100-99.32)%</f>
        <v>6.8000000000000681E-3</v>
      </c>
      <c r="F186" s="27"/>
      <c r="K186"/>
    </row>
    <row r="187" spans="1:11" x14ac:dyDescent="0.35">
      <c r="A187" s="24" t="s">
        <v>41</v>
      </c>
      <c r="B187" s="23"/>
      <c r="C187" s="22"/>
      <c r="D187" s="27">
        <v>1.5520000000000001E-2</v>
      </c>
      <c r="E187" s="27">
        <f>(100-99.34)%</f>
        <v>6.5999999999999661E-3</v>
      </c>
      <c r="F187" s="27"/>
      <c r="K187"/>
    </row>
    <row r="188" spans="1:11" x14ac:dyDescent="0.35">
      <c r="A188" s="24" t="s">
        <v>40</v>
      </c>
      <c r="B188" s="23"/>
      <c r="C188" s="22"/>
      <c r="D188" s="27">
        <v>1.536E-2</v>
      </c>
      <c r="E188" s="27">
        <f>(100-99.32)%</f>
        <v>6.8000000000000681E-3</v>
      </c>
      <c r="F188" s="27"/>
      <c r="K188"/>
    </row>
    <row r="189" spans="1:11" x14ac:dyDescent="0.35">
      <c r="A189" s="24" t="s">
        <v>39</v>
      </c>
      <c r="B189" s="23"/>
      <c r="C189" s="22"/>
      <c r="D189" s="27">
        <v>1.576E-2</v>
      </c>
      <c r="E189" s="27" t="s">
        <v>37</v>
      </c>
      <c r="F189" s="27"/>
      <c r="K189"/>
    </row>
    <row r="190" spans="1:11" x14ac:dyDescent="0.35">
      <c r="A190" s="24" t="s">
        <v>38</v>
      </c>
      <c r="B190" s="23"/>
      <c r="C190" s="22"/>
      <c r="D190" s="27">
        <v>1.485E-2</v>
      </c>
      <c r="E190" s="27" t="s">
        <v>37</v>
      </c>
      <c r="F190" s="27"/>
      <c r="K190"/>
    </row>
    <row r="191" spans="1:11" x14ac:dyDescent="0.35">
      <c r="A191" s="24" t="s">
        <v>36</v>
      </c>
      <c r="B191" s="23"/>
      <c r="C191" s="22"/>
      <c r="D191" s="28">
        <v>1.4250000000000001E-2</v>
      </c>
      <c r="E191" s="28">
        <f>(100-99.29)%</f>
        <v>7.0999999999999371E-3</v>
      </c>
      <c r="F191" s="27"/>
      <c r="K191"/>
    </row>
    <row r="192" spans="1:11" x14ac:dyDescent="0.35">
      <c r="A192" s="24" t="s">
        <v>35</v>
      </c>
      <c r="B192" s="23"/>
      <c r="C192" s="22"/>
      <c r="D192" s="26">
        <f>AVERAGE(D180:D191)</f>
        <v>1.3905833333333334E-2</v>
      </c>
      <c r="E192" s="26">
        <f>AVERAGE(E180:E191)</f>
        <v>8.0900000000000069E-3</v>
      </c>
      <c r="F192" s="26"/>
      <c r="K192"/>
    </row>
    <row r="193" spans="1:13" x14ac:dyDescent="0.35">
      <c r="A193" s="24"/>
      <c r="B193" s="23"/>
      <c r="C193" s="22"/>
      <c r="D193" s="22"/>
      <c r="E193" s="22"/>
      <c r="F193" s="22"/>
      <c r="K193"/>
    </row>
    <row r="194" spans="1:13" x14ac:dyDescent="0.35">
      <c r="A194" s="2" t="s">
        <v>34</v>
      </c>
      <c r="C194" s="10">
        <v>570566</v>
      </c>
      <c r="D194" s="3">
        <f ca="1">MAX(C194+D138,0)</f>
        <v>570566</v>
      </c>
      <c r="E194" s="3">
        <f ca="1">MAX(D194+E138,0)</f>
        <v>570566</v>
      </c>
      <c r="F194" s="3"/>
      <c r="K194"/>
    </row>
    <row r="195" spans="1:13" x14ac:dyDescent="0.35">
      <c r="A195" s="2" t="s">
        <v>33</v>
      </c>
      <c r="C195" s="8">
        <v>223640</v>
      </c>
      <c r="D195" s="7">
        <f ca="1">MAX(C195+D138-(D194-C194),0)</f>
        <v>223640</v>
      </c>
      <c r="E195" s="7">
        <f ca="1">MAX(D195+E138-(E194-D194),0)</f>
        <v>223640</v>
      </c>
      <c r="F195" s="25"/>
      <c r="K195"/>
    </row>
    <row r="196" spans="1:13" x14ac:dyDescent="0.35">
      <c r="A196" s="2" t="s">
        <v>32</v>
      </c>
      <c r="C196" s="3">
        <f>C194+C195</f>
        <v>794206</v>
      </c>
      <c r="D196" s="3">
        <f ca="1">D195+D194</f>
        <v>794206</v>
      </c>
      <c r="E196" s="3">
        <f ca="1">E195+E194</f>
        <v>794206</v>
      </c>
      <c r="F196" s="3"/>
      <c r="K196"/>
    </row>
    <row r="197" spans="1:13" x14ac:dyDescent="0.35">
      <c r="A197" s="24"/>
      <c r="B197" s="23"/>
      <c r="C197" s="22"/>
      <c r="D197" s="22"/>
      <c r="E197" s="22"/>
      <c r="F197" s="22"/>
      <c r="K197"/>
    </row>
    <row r="198" spans="1:13" x14ac:dyDescent="0.35">
      <c r="A198" s="2" t="s">
        <v>31</v>
      </c>
      <c r="C198" s="3">
        <f>C194</f>
        <v>570566</v>
      </c>
      <c r="D198" s="3">
        <f ca="1">D194</f>
        <v>570566</v>
      </c>
      <c r="E198" s="3">
        <f ca="1">E194</f>
        <v>570566</v>
      </c>
      <c r="F198" s="3"/>
      <c r="K198"/>
    </row>
    <row r="199" spans="1:13" x14ac:dyDescent="0.35">
      <c r="A199" s="2" t="s">
        <v>30</v>
      </c>
      <c r="C199" s="3">
        <f>C194/C200</f>
        <v>994017.42160278757</v>
      </c>
      <c r="D199" s="3">
        <f>D67+C199</f>
        <v>1044017.4216027876</v>
      </c>
      <c r="E199" s="3">
        <f>E67+D199</f>
        <v>1094017.4216027874</v>
      </c>
      <c r="F199" s="3"/>
      <c r="K199"/>
    </row>
    <row r="200" spans="1:13" x14ac:dyDescent="0.35">
      <c r="A200" s="2" t="s">
        <v>29</v>
      </c>
      <c r="C200" s="18">
        <v>0.57399999999999995</v>
      </c>
      <c r="D200" s="21">
        <f ca="1">D198/D199</f>
        <v>0.54651003727893788</v>
      </c>
      <c r="E200" s="20">
        <f ca="1">E198/E199</f>
        <v>0.52153282821044455</v>
      </c>
      <c r="F200" s="20"/>
      <c r="K200"/>
    </row>
    <row r="201" spans="1:13" x14ac:dyDescent="0.35">
      <c r="C201" s="18"/>
      <c r="D201" s="20"/>
      <c r="E201" s="20"/>
      <c r="F201" s="20"/>
      <c r="G201" s="19" t="s">
        <v>28</v>
      </c>
      <c r="H201" s="19" t="s">
        <v>27</v>
      </c>
      <c r="I201" s="19" t="s">
        <v>26</v>
      </c>
      <c r="K201"/>
    </row>
    <row r="202" spans="1:13" x14ac:dyDescent="0.35">
      <c r="A202" s="2" t="s">
        <v>25</v>
      </c>
      <c r="C202" s="4">
        <f>IF(AND($C$200&gt;=$G202,$C$200&lt;$H202),$I202,0)</f>
        <v>0</v>
      </c>
      <c r="D202" s="4">
        <f ca="1">IF(AND($D$200&gt;=$G202,$D$200&lt;$H202),$I202,0)</f>
        <v>0</v>
      </c>
      <c r="E202" s="4">
        <f ca="1">IF(AND($E$200&gt;=$G202,$E$200&lt;$H202),$I202,0)</f>
        <v>0</v>
      </c>
      <c r="F202" s="4"/>
      <c r="G202" s="18">
        <v>0.65</v>
      </c>
      <c r="H202" s="18">
        <v>0.7</v>
      </c>
      <c r="I202" s="17">
        <v>0.02</v>
      </c>
      <c r="K202"/>
      <c r="L202"/>
      <c r="M202"/>
    </row>
    <row r="203" spans="1:13" x14ac:dyDescent="0.35">
      <c r="A203" s="2" t="s">
        <v>24</v>
      </c>
      <c r="C203" s="4">
        <f>IF(AND($C$200&gt;=$G203,$C$200&lt;$H203),$I203,0)</f>
        <v>0</v>
      </c>
      <c r="D203" s="4">
        <f ca="1">IF(AND($D$200&gt;=$G203,$D$200&lt;$H203),$I203,0)</f>
        <v>0</v>
      </c>
      <c r="E203" s="4">
        <f ca="1">IF(AND($E$200&gt;=$G203,$E$200&lt;$H203),$I203,0)</f>
        <v>0</v>
      </c>
      <c r="F203" s="4"/>
      <c r="G203" s="18">
        <v>0.61</v>
      </c>
      <c r="H203" s="18">
        <v>0.65</v>
      </c>
      <c r="I203" s="17">
        <v>1.7500000000000002E-2</v>
      </c>
      <c r="K203"/>
      <c r="L203"/>
      <c r="M203"/>
    </row>
    <row r="204" spans="1:13" x14ac:dyDescent="0.35">
      <c r="A204" s="2" t="s">
        <v>23</v>
      </c>
      <c r="C204" s="4">
        <f>IF(AND($C$200&gt;=$G204,$C$200&lt;$H204),$I204,0)</f>
        <v>1.6E-2</v>
      </c>
      <c r="D204" s="4">
        <f ca="1">IF(AND($D$200&gt;=$G204,$D$200&lt;$H204),$I204,0)</f>
        <v>0</v>
      </c>
      <c r="E204" s="4">
        <f ca="1">IF(AND($E$200&gt;=$G204,$E$200&lt;$H204),$I204,0)</f>
        <v>0</v>
      </c>
      <c r="F204" s="4"/>
      <c r="G204" s="18">
        <v>0.56000000000000005</v>
      </c>
      <c r="H204" s="18">
        <v>0.61</v>
      </c>
      <c r="I204" s="17">
        <v>1.6E-2</v>
      </c>
      <c r="K204"/>
      <c r="L204"/>
      <c r="M204"/>
    </row>
    <row r="205" spans="1:13" x14ac:dyDescent="0.35">
      <c r="A205" s="2" t="s">
        <v>22</v>
      </c>
      <c r="C205" s="4">
        <f>IF(AND($C$200&gt;=$G205,$C$200&lt;$H205),$I205,0)</f>
        <v>0</v>
      </c>
      <c r="D205" s="4">
        <f ca="1">IF(AND($D$200&gt;=$G205,$D$200&lt;$H205),$I205,0)</f>
        <v>1.4999999999999999E-2</v>
      </c>
      <c r="E205" s="4">
        <f ca="1">IF(AND($E$200&gt;=$G205,$E$200&lt;$H205),$I205,0)</f>
        <v>1.4999999999999999E-2</v>
      </c>
      <c r="F205" s="4"/>
      <c r="G205" s="18">
        <v>0.51</v>
      </c>
      <c r="H205" s="18">
        <v>0.56000000000000005</v>
      </c>
      <c r="I205" s="17">
        <v>1.4999999999999999E-2</v>
      </c>
      <c r="K205"/>
      <c r="L205"/>
      <c r="M205"/>
    </row>
    <row r="206" spans="1:13" x14ac:dyDescent="0.35">
      <c r="A206" s="2" t="s">
        <v>21</v>
      </c>
      <c r="C206" s="16">
        <f>IF($C$200&lt;$H206,$I206,0)</f>
        <v>0</v>
      </c>
      <c r="D206" s="16">
        <f ca="1">IF($D$200&lt;$H206,$I206,0)</f>
        <v>0</v>
      </c>
      <c r="E206" s="16">
        <f ca="1">IF($E$200&lt;$H206,$I206,0)</f>
        <v>0</v>
      </c>
      <c r="F206" s="15"/>
      <c r="G206" s="18">
        <v>0</v>
      </c>
      <c r="H206" s="18">
        <v>0.51</v>
      </c>
      <c r="I206" s="17">
        <v>1.35E-2</v>
      </c>
      <c r="K206"/>
      <c r="L206"/>
      <c r="M206"/>
    </row>
    <row r="207" spans="1:13" x14ac:dyDescent="0.35">
      <c r="A207" s="2" t="s">
        <v>20</v>
      </c>
      <c r="C207" s="4">
        <f>SUM(C202:C206)</f>
        <v>1.6E-2</v>
      </c>
      <c r="D207" s="4">
        <f ca="1">SUM(D202:D206)</f>
        <v>1.4999999999999999E-2</v>
      </c>
      <c r="E207" s="4">
        <f ca="1">SUM(E202:E206)</f>
        <v>1.4999999999999999E-2</v>
      </c>
      <c r="F207" s="4"/>
      <c r="L207"/>
      <c r="M207"/>
    </row>
    <row r="209" spans="1:7" x14ac:dyDescent="0.35">
      <c r="A209" s="2" t="s">
        <v>19</v>
      </c>
      <c r="C209" s="14">
        <f>C207</f>
        <v>1.6E-2</v>
      </c>
      <c r="D209" s="14">
        <f ca="1">D207</f>
        <v>1.4999999999999999E-2</v>
      </c>
      <c r="E209" s="14">
        <f ca="1">E207</f>
        <v>1.4999999999999999E-2</v>
      </c>
      <c r="F209" s="14"/>
    </row>
    <row r="210" spans="1:7" x14ac:dyDescent="0.35">
      <c r="A210" s="2" t="s">
        <v>18</v>
      </c>
      <c r="C210" s="6">
        <v>1.4E-2</v>
      </c>
      <c r="D210" s="16">
        <f>C210</f>
        <v>1.4E-2</v>
      </c>
      <c r="E210" s="16">
        <f>D210</f>
        <v>1.4E-2</v>
      </c>
      <c r="F210" s="15"/>
    </row>
    <row r="211" spans="1:7" x14ac:dyDescent="0.35">
      <c r="A211" s="2" t="s">
        <v>17</v>
      </c>
      <c r="C211" s="14">
        <f>(C194*C209+C195*C210)/C196</f>
        <v>1.5436821177377153E-2</v>
      </c>
      <c r="D211" s="14">
        <f ca="1">(D194*D209+D195*D210)/D196</f>
        <v>1.4718410588688578E-2</v>
      </c>
      <c r="E211" s="14">
        <f ca="1">(E194*E209+E195*E210)/E196</f>
        <v>1.4718410588688578E-2</v>
      </c>
      <c r="F211" s="14"/>
    </row>
    <row r="213" spans="1:7" x14ac:dyDescent="0.35">
      <c r="A213" s="13" t="s">
        <v>16</v>
      </c>
      <c r="B213" s="12"/>
      <c r="C213" s="11" t="s">
        <v>7</v>
      </c>
      <c r="D213" s="11" t="s">
        <v>6</v>
      </c>
      <c r="E213" s="11" t="s">
        <v>5</v>
      </c>
      <c r="F213" s="11"/>
      <c r="G213" s="11" t="s">
        <v>15</v>
      </c>
    </row>
    <row r="214" spans="1:7" x14ac:dyDescent="0.35">
      <c r="A214" s="2" t="s">
        <v>14</v>
      </c>
      <c r="C214" s="10">
        <v>47902</v>
      </c>
      <c r="D214" s="3">
        <f t="shared" ref="D214:E217" si="2">C214</f>
        <v>47902</v>
      </c>
      <c r="E214" s="3">
        <f t="shared" si="2"/>
        <v>47902</v>
      </c>
      <c r="F214" s="3"/>
      <c r="G214" s="9">
        <v>4.1160000000000002E-2</v>
      </c>
    </row>
    <row r="215" spans="1:7" x14ac:dyDescent="0.35">
      <c r="A215" s="2" t="s">
        <v>13</v>
      </c>
      <c r="C215" s="10">
        <v>37283</v>
      </c>
      <c r="D215" s="3">
        <f t="shared" si="2"/>
        <v>37283</v>
      </c>
      <c r="E215" s="3">
        <f t="shared" si="2"/>
        <v>37283</v>
      </c>
      <c r="F215" s="3"/>
      <c r="G215" s="9">
        <v>2.1940000000000001E-2</v>
      </c>
    </row>
    <row r="216" spans="1:7" x14ac:dyDescent="0.35">
      <c r="A216" s="2" t="s">
        <v>12</v>
      </c>
      <c r="C216" s="10">
        <v>95000</v>
      </c>
      <c r="D216" s="3">
        <f t="shared" si="2"/>
        <v>95000</v>
      </c>
      <c r="E216" s="3">
        <f t="shared" si="2"/>
        <v>95000</v>
      </c>
      <c r="F216" s="3"/>
      <c r="G216" s="9">
        <v>4.5999999999999999E-2</v>
      </c>
    </row>
    <row r="217" spans="1:7" x14ac:dyDescent="0.35">
      <c r="A217" s="2" t="s">
        <v>11</v>
      </c>
      <c r="C217" s="8">
        <v>472500</v>
      </c>
      <c r="D217" s="7">
        <f t="shared" si="2"/>
        <v>472500</v>
      </c>
      <c r="E217" s="7">
        <f t="shared" si="2"/>
        <v>472500</v>
      </c>
      <c r="F217" s="7"/>
      <c r="G217" s="6">
        <v>2.9899999999999999E-2</v>
      </c>
    </row>
    <row r="218" spans="1:7" x14ac:dyDescent="0.35">
      <c r="A218" s="2" t="s">
        <v>10</v>
      </c>
      <c r="C218" s="3">
        <f>SUM(C214:C217)</f>
        <v>652685</v>
      </c>
      <c r="D218" s="3">
        <f>SUM(D214:D217)</f>
        <v>652685</v>
      </c>
      <c r="E218" s="3">
        <f>SUM(E214:E217)</f>
        <v>652685</v>
      </c>
      <c r="F218" s="3"/>
      <c r="G218" s="5"/>
    </row>
    <row r="219" spans="1:7" x14ac:dyDescent="0.35">
      <c r="A219" s="2" t="s">
        <v>9</v>
      </c>
      <c r="C219" s="4">
        <f>SUMPRODUCT(C214:C217,$G$214:$G$217)/C218</f>
        <v>3.2615098156078354E-2</v>
      </c>
      <c r="D219" s="4">
        <f>SUMPRODUCT(D214:D217,$G$214:$G$217)/D218</f>
        <v>3.2615098156078354E-2</v>
      </c>
      <c r="E219" s="4">
        <f>SUMPRODUCT(E214:E217,$G$214:$G$217)/E218</f>
        <v>3.2615098156078354E-2</v>
      </c>
      <c r="F219" s="4"/>
    </row>
    <row r="220" spans="1:7" x14ac:dyDescent="0.35">
      <c r="C220" s="4"/>
      <c r="D220" s="4"/>
      <c r="E220" s="4"/>
      <c r="F220" s="4"/>
    </row>
    <row r="221" spans="1:7" x14ac:dyDescent="0.35">
      <c r="A221" s="13" t="s">
        <v>8</v>
      </c>
      <c r="B221" s="12"/>
      <c r="C221" s="11" t="s">
        <v>7</v>
      </c>
      <c r="D221" s="11" t="s">
        <v>6</v>
      </c>
      <c r="E221" s="11" t="s">
        <v>5</v>
      </c>
      <c r="F221" s="11"/>
      <c r="G221" s="11" t="s">
        <v>4</v>
      </c>
    </row>
    <row r="222" spans="1:7" x14ac:dyDescent="0.35">
      <c r="A222" s="2" t="s">
        <v>3</v>
      </c>
      <c r="C222" s="10">
        <v>75000</v>
      </c>
      <c r="D222" s="3">
        <f t="shared" ref="D222:E224" si="3">C222</f>
        <v>75000</v>
      </c>
      <c r="E222" s="3">
        <f t="shared" si="3"/>
        <v>75000</v>
      </c>
      <c r="F222" s="3"/>
      <c r="G222" s="9">
        <v>4.9000000000000002E-2</v>
      </c>
    </row>
    <row r="223" spans="1:7" x14ac:dyDescent="0.35">
      <c r="A223" s="2" t="s">
        <v>2</v>
      </c>
      <c r="C223" s="10">
        <v>25139</v>
      </c>
      <c r="D223" s="3">
        <f t="shared" si="3"/>
        <v>25139</v>
      </c>
      <c r="E223" s="3">
        <f t="shared" si="3"/>
        <v>25139</v>
      </c>
      <c r="F223" s="3"/>
      <c r="G223" s="9">
        <v>3.3000000000000002E-2</v>
      </c>
    </row>
    <row r="224" spans="1:7" x14ac:dyDescent="0.35">
      <c r="A224" s="2" t="s">
        <v>2</v>
      </c>
      <c r="C224" s="8">
        <v>8649</v>
      </c>
      <c r="D224" s="7">
        <f t="shared" si="3"/>
        <v>8649</v>
      </c>
      <c r="E224" s="7">
        <f t="shared" si="3"/>
        <v>8649</v>
      </c>
      <c r="F224" s="7"/>
      <c r="G224" s="6">
        <v>3.3000000000000002E-2</v>
      </c>
    </row>
    <row r="225" spans="1:7" x14ac:dyDescent="0.35">
      <c r="A225" s="2" t="s">
        <v>1</v>
      </c>
      <c r="C225" s="3">
        <f>SUM(C222:C224)</f>
        <v>108788</v>
      </c>
      <c r="D225" s="3">
        <f>SUM(D222:D224)</f>
        <v>108788</v>
      </c>
      <c r="E225" s="3">
        <f>SUM(E222:E224)</f>
        <v>108788</v>
      </c>
      <c r="F225" s="3"/>
      <c r="G225" s="5"/>
    </row>
    <row r="226" spans="1:7" x14ac:dyDescent="0.35">
      <c r="A226" s="2" t="s">
        <v>0</v>
      </c>
      <c r="C226" s="4">
        <f>SUMPRODUCT(C222:C224,$G$222:$G$224)/C225</f>
        <v>4.4030628378129939E-2</v>
      </c>
      <c r="D226" s="4">
        <f>SUMPRODUCT(D222:D224,$G$222:$G$224)/D225</f>
        <v>4.4030628378129939E-2</v>
      </c>
      <c r="E226" s="4">
        <f>SUMPRODUCT(E222:E224,$G$222:$G$224)/E225</f>
        <v>4.4030628378129939E-2</v>
      </c>
      <c r="F226" s="4"/>
    </row>
    <row r="227" spans="1:7" collapsed="1" x14ac:dyDescent="0.35">
      <c r="D227" s="3"/>
    </row>
    <row r="228" spans="1:7" x14ac:dyDescent="0.35">
      <c r="D2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showGridLines="0" tabSelected="1" workbookViewId="0"/>
  </sheetViews>
  <sheetFormatPr defaultColWidth="9.1796875" defaultRowHeight="14.5" outlineLevelRow="2" x14ac:dyDescent="0.35"/>
  <cols>
    <col min="1" max="1" width="42.54296875" style="2" customWidth="1"/>
    <col min="2" max="5" width="11.7265625" style="1" customWidth="1"/>
    <col min="6" max="6" width="10.7265625" style="1" customWidth="1"/>
    <col min="7" max="9" width="20.7265625" style="1" customWidth="1"/>
    <col min="10" max="16384" width="9.1796875" style="1"/>
  </cols>
  <sheetData>
    <row r="1" spans="1:11" ht="19.5" x14ac:dyDescent="0.45">
      <c r="A1" s="112"/>
    </row>
    <row r="2" spans="1:11" ht="20.149999999999999" customHeight="1" x14ac:dyDescent="0.35">
      <c r="A2" s="13" t="s">
        <v>177</v>
      </c>
      <c r="B2" s="11" t="s">
        <v>126</v>
      </c>
      <c r="C2" s="11" t="s">
        <v>7</v>
      </c>
      <c r="D2" s="11" t="s">
        <v>6</v>
      </c>
      <c r="E2" s="11" t="s">
        <v>5</v>
      </c>
      <c r="F2" s="22"/>
    </row>
    <row r="3" spans="1:11" ht="12.75" customHeight="1" x14ac:dyDescent="0.35">
      <c r="A3" s="63" t="s">
        <v>176</v>
      </c>
      <c r="B3" s="93">
        <v>102510</v>
      </c>
      <c r="C3" s="93">
        <v>89094</v>
      </c>
      <c r="D3" s="47">
        <f>C6*(1+D4)</f>
        <v>90875.88</v>
      </c>
      <c r="E3" s="47">
        <f>D6*(1+E4)</f>
        <v>94733.397600000011</v>
      </c>
      <c r="F3" s="47"/>
      <c r="H3"/>
    </row>
    <row r="4" spans="1:11" ht="12.75" customHeight="1" x14ac:dyDescent="0.35">
      <c r="A4" s="111" t="s">
        <v>175</v>
      </c>
      <c r="B4" s="110" t="s">
        <v>106</v>
      </c>
      <c r="C4" s="35">
        <f>C3/B3-1</f>
        <v>-0.13087503658179689</v>
      </c>
      <c r="D4" s="109">
        <v>0.02</v>
      </c>
      <c r="E4" s="109">
        <v>0.02</v>
      </c>
      <c r="F4" s="108"/>
      <c r="H4"/>
    </row>
    <row r="5" spans="1:11" ht="12.75" customHeight="1" x14ac:dyDescent="0.35">
      <c r="A5" s="106" t="s">
        <v>133</v>
      </c>
      <c r="B5" s="107" t="s">
        <v>106</v>
      </c>
      <c r="C5" s="107" t="s">
        <v>106</v>
      </c>
      <c r="D5" s="37">
        <f>D62</f>
        <v>2000</v>
      </c>
      <c r="E5" s="37">
        <f>E62</f>
        <v>4000</v>
      </c>
      <c r="F5" s="36"/>
      <c r="H5"/>
    </row>
    <row r="6" spans="1:11" ht="12.75" customHeight="1" x14ac:dyDescent="0.35">
      <c r="A6" s="106" t="s">
        <v>102</v>
      </c>
      <c r="B6" s="36">
        <f>SUM(B3,B5)</f>
        <v>102510</v>
      </c>
      <c r="C6" s="36">
        <f>SUM(C3,C5)</f>
        <v>89094</v>
      </c>
      <c r="D6" s="36">
        <f>SUM(D3,D5)</f>
        <v>92875.88</v>
      </c>
      <c r="E6" s="36">
        <f>SUM(E3,E5)</f>
        <v>98733.397600000011</v>
      </c>
      <c r="F6" s="36"/>
      <c r="H6"/>
    </row>
    <row r="7" spans="1:11" ht="12.75" customHeight="1" x14ac:dyDescent="0.35">
      <c r="A7" s="2" t="s">
        <v>97</v>
      </c>
      <c r="B7" s="105">
        <f>-358-(10189-114)</f>
        <v>-10433</v>
      </c>
      <c r="C7" s="105">
        <f>-442-(6893-85)</f>
        <v>-7250</v>
      </c>
      <c r="D7" s="37">
        <f>-(1-D9)*D6</f>
        <v>-7325.5597556311322</v>
      </c>
      <c r="E7" s="37">
        <f>-(1-E9)*E6</f>
        <v>-7540.7363680060234</v>
      </c>
      <c r="F7" s="36"/>
      <c r="H7"/>
    </row>
    <row r="8" spans="1:11" ht="12.75" customHeight="1" x14ac:dyDescent="0.35">
      <c r="A8" s="2" t="s">
        <v>174</v>
      </c>
      <c r="B8" s="61">
        <f>SUM(B6:B7)</f>
        <v>92077</v>
      </c>
      <c r="C8" s="61">
        <f>SUM(C6:C7)</f>
        <v>81844</v>
      </c>
      <c r="D8" s="61">
        <f>SUM(D6:D7)</f>
        <v>85550.320244368879</v>
      </c>
      <c r="E8" s="61">
        <f>SUM(E6:E7)</f>
        <v>91192.661231993989</v>
      </c>
      <c r="F8" s="61"/>
      <c r="H8"/>
    </row>
    <row r="9" spans="1:11" ht="12.75" customHeight="1" x14ac:dyDescent="0.35">
      <c r="A9" s="50" t="s">
        <v>173</v>
      </c>
      <c r="B9" s="103">
        <f>B8/B6</f>
        <v>0.89822456345722368</v>
      </c>
      <c r="C9" s="103">
        <f>C8/C6</f>
        <v>0.91862527218443446</v>
      </c>
      <c r="D9" s="103">
        <f>C9+0.25%</f>
        <v>0.92112527218443441</v>
      </c>
      <c r="E9" s="103">
        <f>D9+0.25%</f>
        <v>0.92362527218443435</v>
      </c>
      <c r="F9" s="103"/>
      <c r="G9" s="20"/>
      <c r="H9"/>
    </row>
    <row r="10" spans="1:11" ht="12.75" customHeight="1" x14ac:dyDescent="0.35">
      <c r="A10" s="2" t="s">
        <v>172</v>
      </c>
      <c r="B10" s="93">
        <f>-(6187-359)-(4990-466)</f>
        <v>-10352</v>
      </c>
      <c r="C10" s="93">
        <f>-(6073-485)-(5597-830)</f>
        <v>-10355</v>
      </c>
      <c r="D10" s="47">
        <f>C10</f>
        <v>-10355</v>
      </c>
      <c r="E10" s="47">
        <f>D10</f>
        <v>-10355</v>
      </c>
      <c r="F10" s="47"/>
      <c r="H10"/>
    </row>
    <row r="11" spans="1:11" ht="12.75" customHeight="1" x14ac:dyDescent="0.35">
      <c r="A11" s="2" t="s">
        <v>171</v>
      </c>
      <c r="B11" s="83">
        <f>(3124-323-1290-170)-(1866-311)-85887*0-25*0</f>
        <v>-214</v>
      </c>
      <c r="C11" s="83">
        <f>(2029-367)-(1619-868-472-181-91)-12804*0+9278*0</f>
        <v>1655</v>
      </c>
      <c r="D11" s="83">
        <v>0</v>
      </c>
      <c r="E11" s="83">
        <v>0</v>
      </c>
      <c r="F11" s="104"/>
      <c r="H11"/>
    </row>
    <row r="12" spans="1:11" ht="12.75" customHeight="1" x14ac:dyDescent="0.35">
      <c r="A12" s="2" t="s">
        <v>170</v>
      </c>
      <c r="B12" s="61">
        <f>B8+B10+B11</f>
        <v>81511</v>
      </c>
      <c r="C12" s="61">
        <f>C8+C10+C11</f>
        <v>73144</v>
      </c>
      <c r="D12" s="61">
        <f>SUM(D8,D10,D11)</f>
        <v>75195.320244368879</v>
      </c>
      <c r="E12" s="61">
        <f>SUM(E8,E10,E11)</f>
        <v>80837.661231993989</v>
      </c>
      <c r="F12" s="61"/>
      <c r="H12"/>
    </row>
    <row r="13" spans="1:11" ht="12.75" customHeight="1" x14ac:dyDescent="0.35">
      <c r="A13" s="50" t="s">
        <v>169</v>
      </c>
      <c r="B13" s="103">
        <f>B12/B6</f>
        <v>0.79515169251780315</v>
      </c>
      <c r="C13" s="103">
        <f>C12/C6</f>
        <v>0.82097559880575577</v>
      </c>
      <c r="D13" s="103">
        <f>D12/D6</f>
        <v>0.80963238511838465</v>
      </c>
      <c r="E13" s="103">
        <f>E12/E6</f>
        <v>0.81874687995132844</v>
      </c>
      <c r="F13"/>
      <c r="H13"/>
      <c r="I13"/>
      <c r="J13"/>
      <c r="K13"/>
    </row>
    <row r="14" spans="1:11" ht="12.75" customHeight="1" x14ac:dyDescent="0.35">
      <c r="A14" s="2" t="s">
        <v>115</v>
      </c>
      <c r="B14" s="83">
        <f>-114-359</f>
        <v>-473</v>
      </c>
      <c r="C14" s="83">
        <f>-485-85</f>
        <v>-570</v>
      </c>
      <c r="D14" s="114">
        <v>-600</v>
      </c>
      <c r="E14" s="114">
        <v>-650</v>
      </c>
      <c r="F14" s="121">
        <f>IF(E14=0,ABS(E14-'Full Model - Complete'!E14),-ABS(E14-'Full Model - Complete'!E14))</f>
        <v>-158.29526436496621</v>
      </c>
      <c r="G14" s="115"/>
      <c r="H14"/>
      <c r="I14"/>
      <c r="J14"/>
      <c r="K14"/>
    </row>
    <row r="15" spans="1:11" ht="12.75" customHeight="1" x14ac:dyDescent="0.35">
      <c r="A15" s="2" t="s">
        <v>168</v>
      </c>
      <c r="B15" s="61">
        <f>SUM(B12,B14)</f>
        <v>81038</v>
      </c>
      <c r="C15" s="61">
        <f>SUM(C12,C14)</f>
        <v>72574</v>
      </c>
      <c r="D15" s="61">
        <f t="shared" ref="D15" si="0">SUM(D12,D14)</f>
        <v>74595.320244368879</v>
      </c>
      <c r="E15" s="61">
        <f>SUM(E12,E14)</f>
        <v>80187.661231993989</v>
      </c>
      <c r="G15" s="61"/>
      <c r="H15"/>
      <c r="I15"/>
      <c r="J15"/>
      <c r="K15"/>
    </row>
    <row r="16" spans="1:11" ht="12.75" customHeight="1" x14ac:dyDescent="0.35">
      <c r="A16" s="2" t="s">
        <v>167</v>
      </c>
      <c r="B16" s="83">
        <v>-52117</v>
      </c>
      <c r="C16" s="83">
        <f>-43165+278</f>
        <v>-42887</v>
      </c>
      <c r="D16" s="114">
        <v>-45000</v>
      </c>
      <c r="E16" s="114">
        <v>-50000</v>
      </c>
      <c r="F16" s="121">
        <f ca="1">IF(E16=0,ABS(E16-'Full Model - Complete'!E16),-ABS(E16-'Full Model - Complete'!E16))</f>
        <v>-15861.05653322432</v>
      </c>
      <c r="G16" s="115"/>
      <c r="H16"/>
      <c r="I16"/>
      <c r="J16"/>
      <c r="K16"/>
    </row>
    <row r="17" spans="1:14" ht="12.75" customHeight="1" x14ac:dyDescent="0.35">
      <c r="A17" s="2" t="s">
        <v>166</v>
      </c>
      <c r="B17" s="61">
        <f>SUM(B15:B16)</f>
        <v>28921</v>
      </c>
      <c r="C17" s="61">
        <f>SUM(C15:C16)</f>
        <v>29687</v>
      </c>
      <c r="D17" s="61">
        <f>SUM(D15:D16)</f>
        <v>29595.320244368879</v>
      </c>
      <c r="E17" s="61">
        <f>SUM(E15:E16)</f>
        <v>30187.661231993989</v>
      </c>
      <c r="G17" s="61"/>
      <c r="H17"/>
      <c r="I17"/>
      <c r="J17"/>
      <c r="K17"/>
    </row>
    <row r="18" spans="1:14" ht="12.75" customHeight="1" x14ac:dyDescent="0.35">
      <c r="A18" s="2" t="s">
        <v>165</v>
      </c>
      <c r="B18" s="92">
        <f>-110*0</f>
        <v>0</v>
      </c>
      <c r="C18" s="92">
        <v>0</v>
      </c>
      <c r="D18" s="92">
        <f>-D17*D19</f>
        <v>0</v>
      </c>
      <c r="E18" s="92">
        <f>-E17*E19</f>
        <v>0</v>
      </c>
      <c r="G18" s="92"/>
      <c r="H18"/>
      <c r="I18"/>
      <c r="J18"/>
      <c r="K18"/>
    </row>
    <row r="19" spans="1:14" ht="12.75" customHeight="1" x14ac:dyDescent="0.35">
      <c r="A19" s="2" t="s">
        <v>164</v>
      </c>
      <c r="B19" s="61">
        <f>B18/B17</f>
        <v>0</v>
      </c>
      <c r="C19" s="61">
        <f>C18/C17</f>
        <v>0</v>
      </c>
      <c r="D19" s="92">
        <v>0</v>
      </c>
      <c r="E19" s="92">
        <v>0</v>
      </c>
      <c r="G19" s="92"/>
      <c r="H19"/>
      <c r="I19"/>
      <c r="J19"/>
      <c r="K19"/>
    </row>
    <row r="20" spans="1:14" ht="12.75" customHeight="1" x14ac:dyDescent="0.35">
      <c r="A20" s="2" t="s">
        <v>163</v>
      </c>
      <c r="B20" s="93">
        <f>-264-23294*0</f>
        <v>-264</v>
      </c>
      <c r="C20" s="93">
        <f>12070-12101-35672*0</f>
        <v>-31</v>
      </c>
      <c r="D20" s="47">
        <f>D77</f>
        <v>-1484.145</v>
      </c>
      <c r="E20" s="47">
        <f>E77</f>
        <v>363.13049999999998</v>
      </c>
      <c r="G20" s="47"/>
      <c r="H20"/>
      <c r="I20"/>
      <c r="J20"/>
      <c r="K20"/>
    </row>
    <row r="21" spans="1:14" ht="12.75" customHeight="1" x14ac:dyDescent="0.35">
      <c r="A21" s="2" t="s">
        <v>162</v>
      </c>
      <c r="B21" s="102">
        <f>-B14</f>
        <v>473</v>
      </c>
      <c r="C21" s="102">
        <f>-C14</f>
        <v>570</v>
      </c>
      <c r="D21" s="102">
        <f>-D14</f>
        <v>600</v>
      </c>
      <c r="E21" s="102">
        <f>-E14</f>
        <v>650</v>
      </c>
      <c r="G21" s="84"/>
      <c r="H21"/>
      <c r="I21"/>
      <c r="J21"/>
      <c r="K21"/>
    </row>
    <row r="22" spans="1:14" ht="12.75" customHeight="1" x14ac:dyDescent="0.35">
      <c r="A22" s="2" t="s">
        <v>94</v>
      </c>
      <c r="B22" s="61">
        <f>SUM(B17,B18,B20,B21)</f>
        <v>29130</v>
      </c>
      <c r="C22" s="61">
        <f>SUM(C17,C18,C20,C21)</f>
        <v>30226</v>
      </c>
      <c r="D22" s="61">
        <f>SUM(D17,D18,D20,D21)</f>
        <v>28711.175244368878</v>
      </c>
      <c r="E22" s="61">
        <f>SUM(E17,E18,E20,E21)</f>
        <v>31200.791731993988</v>
      </c>
      <c r="G22" s="61"/>
      <c r="H22"/>
    </row>
    <row r="23" spans="1:14" ht="12.75" customHeight="1" x14ac:dyDescent="0.35">
      <c r="A23" s="2" t="s">
        <v>161</v>
      </c>
      <c r="B23" s="93">
        <v>56833</v>
      </c>
      <c r="C23" s="93">
        <v>57525</v>
      </c>
      <c r="D23" s="47">
        <f>C23</f>
        <v>57525</v>
      </c>
      <c r="E23" s="47">
        <f>D23</f>
        <v>57525</v>
      </c>
      <c r="G23" s="47"/>
      <c r="H23"/>
    </row>
    <row r="24" spans="1:14" ht="12.75" customHeight="1" x14ac:dyDescent="0.35">
      <c r="A24" s="2" t="s">
        <v>160</v>
      </c>
      <c r="B24" s="100">
        <f>B22/B23</f>
        <v>0.51255432583182303</v>
      </c>
      <c r="C24" s="100">
        <f>C22/C23</f>
        <v>0.52544111255975667</v>
      </c>
      <c r="D24" s="100">
        <f>D22/D23</f>
        <v>0.49910778347446988</v>
      </c>
      <c r="E24" s="100">
        <f>E22/E23</f>
        <v>0.54238664462397201</v>
      </c>
      <c r="G24" s="100"/>
      <c r="H24"/>
    </row>
    <row r="25" spans="1:14" ht="12.75" customHeight="1" x14ac:dyDescent="0.35">
      <c r="A25" s="2" t="s">
        <v>159</v>
      </c>
      <c r="B25" s="101">
        <v>0.52</v>
      </c>
      <c r="C25" s="101">
        <v>0.5</v>
      </c>
      <c r="D25" s="100">
        <f>D24*D26</f>
        <v>0.47494169331649705</v>
      </c>
      <c r="E25" s="100">
        <f>E24*E26</f>
        <v>0.51612505346380577</v>
      </c>
      <c r="G25" s="100"/>
    </row>
    <row r="26" spans="1:14" ht="12.75" customHeight="1" x14ac:dyDescent="0.35">
      <c r="A26" s="2" t="s">
        <v>158</v>
      </c>
      <c r="B26" s="99">
        <f>B25/B24</f>
        <v>1.0145266048746997</v>
      </c>
      <c r="C26" s="99">
        <f>C25/C24</f>
        <v>0.95158141996956258</v>
      </c>
      <c r="D26" s="99">
        <f>C26</f>
        <v>0.95158141996956258</v>
      </c>
      <c r="E26" s="99">
        <f>D26</f>
        <v>0.95158141996956258</v>
      </c>
      <c r="G26" s="99"/>
    </row>
    <row r="27" spans="1:14" ht="12.75" customHeight="1" x14ac:dyDescent="0.35">
      <c r="A27" s="113" t="s">
        <v>178</v>
      </c>
      <c r="B27" s="99"/>
      <c r="C27" s="99"/>
      <c r="D27" s="99"/>
      <c r="E27" s="99"/>
      <c r="G27" s="99"/>
    </row>
    <row r="28" spans="1:14" ht="30" customHeight="1" x14ac:dyDescent="0.35">
      <c r="A28" s="98" t="s">
        <v>157</v>
      </c>
      <c r="B28" s="12"/>
      <c r="C28" s="97" t="s">
        <v>7</v>
      </c>
      <c r="D28" s="11" t="s">
        <v>6</v>
      </c>
      <c r="E28" s="11" t="s">
        <v>5</v>
      </c>
      <c r="G28" s="22"/>
    </row>
    <row r="29" spans="1:14" x14ac:dyDescent="0.35">
      <c r="A29" s="1" t="s">
        <v>131</v>
      </c>
      <c r="C29" s="71">
        <f>1348400+600</f>
        <v>1349000</v>
      </c>
      <c r="D29" s="3">
        <f>D69</f>
        <v>1421500</v>
      </c>
      <c r="E29" s="3">
        <f>E69</f>
        <v>1494000</v>
      </c>
      <c r="G29" s="3"/>
    </row>
    <row r="30" spans="1:14" x14ac:dyDescent="0.35">
      <c r="A30" s="1" t="s">
        <v>156</v>
      </c>
      <c r="C30" s="71">
        <v>32385</v>
      </c>
      <c r="D30" s="33">
        <f>C30+D77</f>
        <v>30900.855</v>
      </c>
      <c r="E30" s="33">
        <f>D30+E77</f>
        <v>31263.985499999999</v>
      </c>
      <c r="G30" s="3"/>
      <c r="I30"/>
      <c r="J30"/>
      <c r="K30"/>
      <c r="L30"/>
      <c r="M30"/>
      <c r="N30"/>
    </row>
    <row r="31" spans="1:14" x14ac:dyDescent="0.35">
      <c r="A31" s="1" t="s">
        <v>117</v>
      </c>
      <c r="C31" s="71">
        <v>7826</v>
      </c>
      <c r="D31" s="33">
        <f>D88</f>
        <v>10257.321117817517</v>
      </c>
      <c r="E31" s="33">
        <f>E88</f>
        <v>12569.494603452551</v>
      </c>
      <c r="G31" s="3"/>
      <c r="I31"/>
      <c r="J31"/>
      <c r="K31"/>
      <c r="L31"/>
      <c r="M31"/>
      <c r="N31"/>
    </row>
    <row r="32" spans="1:14" x14ac:dyDescent="0.35">
      <c r="A32" s="1" t="s">
        <v>155</v>
      </c>
      <c r="C32" s="71">
        <f>319+181+17615+1</f>
        <v>18116</v>
      </c>
      <c r="D32" s="33">
        <f>C32</f>
        <v>18116</v>
      </c>
      <c r="E32" s="33">
        <f>D32</f>
        <v>18116</v>
      </c>
      <c r="G32" s="3"/>
      <c r="I32"/>
      <c r="J32"/>
      <c r="K32"/>
      <c r="L32"/>
      <c r="M32"/>
      <c r="N32"/>
    </row>
    <row r="33" spans="1:14" x14ac:dyDescent="0.35">
      <c r="A33" s="1" t="s">
        <v>103</v>
      </c>
      <c r="C33" s="71">
        <f>4117+1967+8137</f>
        <v>14221</v>
      </c>
      <c r="D33" s="33">
        <f>D102</f>
        <v>14824.655863245562</v>
      </c>
      <c r="E33" s="33">
        <f>E102</f>
        <v>15759.620707001595</v>
      </c>
      <c r="G33" s="3"/>
      <c r="I33"/>
      <c r="J33"/>
      <c r="K33"/>
      <c r="L33"/>
      <c r="M33"/>
      <c r="N33"/>
    </row>
    <row r="34" spans="1:14" x14ac:dyDescent="0.35">
      <c r="A34" s="1" t="s">
        <v>154</v>
      </c>
      <c r="C34" s="95">
        <v>120788</v>
      </c>
      <c r="D34" s="116"/>
      <c r="E34" s="116"/>
      <c r="F34" s="121">
        <f ca="1">IF(E34=0,ABS(E34-'Full Model - Complete'!E34),-ABS(E34-'Full Model - Complete'!E34))</f>
        <v>10000</v>
      </c>
      <c r="G34" s="115"/>
      <c r="I34"/>
      <c r="J34"/>
      <c r="K34"/>
      <c r="L34"/>
      <c r="M34"/>
      <c r="N34"/>
    </row>
    <row r="35" spans="1:14" x14ac:dyDescent="0.35">
      <c r="A35" s="1" t="s">
        <v>153</v>
      </c>
      <c r="C35" s="82">
        <f>SUM(C29:C34)</f>
        <v>1542336</v>
      </c>
      <c r="D35" s="33">
        <f>SUM(D29:D34)</f>
        <v>1495598.8319810629</v>
      </c>
      <c r="E35" s="33">
        <f>SUM(E29:E34)</f>
        <v>1571709.100810454</v>
      </c>
      <c r="G35" s="3"/>
      <c r="I35"/>
      <c r="J35"/>
      <c r="K35"/>
      <c r="L35"/>
      <c r="M35"/>
      <c r="N35"/>
    </row>
    <row r="36" spans="1:14" x14ac:dyDescent="0.35">
      <c r="A36" s="1"/>
      <c r="D36" s="34"/>
      <c r="E36" s="34"/>
      <c r="G36" s="3"/>
      <c r="I36"/>
      <c r="J36"/>
      <c r="K36"/>
      <c r="L36"/>
      <c r="M36"/>
      <c r="N36"/>
    </row>
    <row r="37" spans="1:14" x14ac:dyDescent="0.35">
      <c r="A37" s="1" t="s">
        <v>152</v>
      </c>
      <c r="C37" s="71">
        <f>786410+7796</f>
        <v>794206</v>
      </c>
      <c r="D37" s="117"/>
      <c r="E37" s="117"/>
      <c r="F37" s="121">
        <f ca="1">IF(E37=0,ABS(E37-'Full Model - Complete'!E37),-ABS(E37-'Full Model - Complete'!E37))</f>
        <v>830398.43132440338</v>
      </c>
      <c r="G37" s="115"/>
    </row>
    <row r="38" spans="1:14" x14ac:dyDescent="0.35">
      <c r="A38" s="1" t="s">
        <v>151</v>
      </c>
      <c r="C38" s="71">
        <f>21842+355+21007</f>
        <v>43204</v>
      </c>
      <c r="D38" s="33">
        <f>C38</f>
        <v>43204</v>
      </c>
      <c r="E38" s="33">
        <f>D38</f>
        <v>43204</v>
      </c>
      <c r="G38" s="3"/>
    </row>
    <row r="39" spans="1:14" x14ac:dyDescent="0.35">
      <c r="A39" s="1" t="s">
        <v>150</v>
      </c>
      <c r="C39" s="71">
        <f>2180+324+6990</f>
        <v>9494</v>
      </c>
      <c r="D39" s="33">
        <f>D110</f>
        <v>9592.9468027533749</v>
      </c>
      <c r="E39" s="33">
        <f>E110</f>
        <v>9874.7242865998869</v>
      </c>
      <c r="G39" s="3"/>
    </row>
    <row r="40" spans="1:14" x14ac:dyDescent="0.35">
      <c r="A40" s="1" t="s">
        <v>100</v>
      </c>
      <c r="C40" s="95">
        <f>3024</f>
        <v>3024</v>
      </c>
      <c r="D40" s="43">
        <f>D106</f>
        <v>3055.5162346246261</v>
      </c>
      <c r="E40" s="43">
        <f>E106</f>
        <v>3145.2671416345124</v>
      </c>
      <c r="G40" s="25"/>
    </row>
    <row r="41" spans="1:14" x14ac:dyDescent="0.35">
      <c r="A41" s="1" t="s">
        <v>149</v>
      </c>
      <c r="C41" s="3">
        <f>SUM(C37:C40)</f>
        <v>849928</v>
      </c>
      <c r="D41" s="33">
        <f>SUM(D37:D40)</f>
        <v>55852.463037378002</v>
      </c>
      <c r="E41" s="33">
        <f>SUM(E37:E40)</f>
        <v>56223.991428234396</v>
      </c>
      <c r="G41" s="3"/>
    </row>
    <row r="42" spans="1:14" x14ac:dyDescent="0.35">
      <c r="A42" s="1" t="s">
        <v>148</v>
      </c>
      <c r="C42" s="95">
        <v>692408</v>
      </c>
      <c r="D42" s="116"/>
      <c r="E42" s="116"/>
      <c r="F42" s="121">
        <f ca="1">IF(E42=0,ABS(E42-'Full Model - Complete'!E42),-ABS(E42-'Full Model - Complete'!E42))</f>
        <v>695086.67805781646</v>
      </c>
      <c r="G42" s="115"/>
    </row>
    <row r="43" spans="1:14" x14ac:dyDescent="0.35">
      <c r="A43" s="1" t="s">
        <v>147</v>
      </c>
      <c r="C43" s="3">
        <f>SUM(C41:C42)</f>
        <v>1542336</v>
      </c>
      <c r="D43" s="33">
        <f>SUM(D41:D42)</f>
        <v>55852.463037378002</v>
      </c>
      <c r="E43" s="33">
        <f>SUM(E41:E42)</f>
        <v>56223.991428234396</v>
      </c>
      <c r="G43" s="3"/>
    </row>
    <row r="44" spans="1:14" x14ac:dyDescent="0.35">
      <c r="A44" s="2" t="s">
        <v>146</v>
      </c>
      <c r="C44" s="3">
        <f>C43-C35</f>
        <v>0</v>
      </c>
      <c r="D44" s="96">
        <f>D43-D35</f>
        <v>-1439746.368943685</v>
      </c>
      <c r="E44" s="96">
        <f>E43-E35</f>
        <v>-1515485.1093822196</v>
      </c>
      <c r="F44" s="121">
        <f ca="1">IF(E44=0,ABS(E44-'Full Model - Complete'!E44),-ABS(E44-'Full Model - Complete'!E44))</f>
        <v>-1515485.1093822196</v>
      </c>
      <c r="G44" s="120"/>
    </row>
    <row r="45" spans="1:14" hidden="1" outlineLevel="1" x14ac:dyDescent="0.35"/>
    <row r="46" spans="1:14" hidden="1" outlineLevel="2" x14ac:dyDescent="0.35">
      <c r="A46" s="31" t="s">
        <v>129</v>
      </c>
      <c r="B46" s="11" t="s">
        <v>126</v>
      </c>
      <c r="C46" s="11" t="s">
        <v>7</v>
      </c>
      <c r="D46" s="11" t="s">
        <v>6</v>
      </c>
      <c r="E46" s="11" t="s">
        <v>5</v>
      </c>
      <c r="G46" s="22"/>
    </row>
    <row r="47" spans="1:14" hidden="1" outlineLevel="2" x14ac:dyDescent="0.35">
      <c r="A47" s="2" t="s">
        <v>145</v>
      </c>
      <c r="B47" s="76" t="s">
        <v>106</v>
      </c>
      <c r="C47" s="76" t="s">
        <v>106</v>
      </c>
      <c r="D47" s="93">
        <v>100000</v>
      </c>
      <c r="E47" s="93">
        <v>100000</v>
      </c>
      <c r="G47" s="92"/>
    </row>
    <row r="48" spans="1:14" hidden="1" outlineLevel="2" x14ac:dyDescent="0.35">
      <c r="A48" s="2" t="s">
        <v>144</v>
      </c>
      <c r="B48" s="77" t="s">
        <v>106</v>
      </c>
      <c r="C48" s="77" t="s">
        <v>106</v>
      </c>
      <c r="D48" s="91">
        <v>6.5000000000000002E-2</v>
      </c>
      <c r="E48" s="91">
        <v>6.5000000000000002E-2</v>
      </c>
      <c r="G48" s="90"/>
    </row>
    <row r="49" spans="1:7" hidden="1" outlineLevel="2" x14ac:dyDescent="0.35">
      <c r="A49" s="2" t="s">
        <v>143</v>
      </c>
      <c r="B49" s="76" t="s">
        <v>106</v>
      </c>
      <c r="C49" s="76" t="s">
        <v>106</v>
      </c>
      <c r="D49" s="47">
        <f>D47*D48</f>
        <v>6500</v>
      </c>
      <c r="E49" s="47">
        <f>E47*E48</f>
        <v>6500</v>
      </c>
      <c r="G49" s="47"/>
    </row>
    <row r="50" spans="1:7" hidden="1" outlineLevel="2" x14ac:dyDescent="0.35">
      <c r="B50" s="76"/>
      <c r="C50" s="76"/>
      <c r="D50" s="36"/>
      <c r="E50" s="36"/>
      <c r="G50" s="36"/>
    </row>
    <row r="51" spans="1:7" hidden="1" outlineLevel="2" x14ac:dyDescent="0.35">
      <c r="A51" s="2" t="s">
        <v>142</v>
      </c>
      <c r="B51" s="76" t="s">
        <v>106</v>
      </c>
      <c r="C51" s="76" t="s">
        <v>106</v>
      </c>
      <c r="D51" s="36">
        <f>$D$49*(1/2)</f>
        <v>3250</v>
      </c>
      <c r="E51" s="36">
        <f>$D$49*(1/2)</f>
        <v>3250</v>
      </c>
      <c r="G51" s="36"/>
    </row>
    <row r="52" spans="1:7" hidden="1" outlineLevel="2" x14ac:dyDescent="0.35">
      <c r="A52" s="2" t="s">
        <v>141</v>
      </c>
      <c r="B52" s="77" t="s">
        <v>106</v>
      </c>
      <c r="C52" s="77" t="s">
        <v>106</v>
      </c>
      <c r="D52" s="37">
        <v>0</v>
      </c>
      <c r="E52" s="37">
        <f>$E$49*(1/2)</f>
        <v>3250</v>
      </c>
      <c r="G52" s="36"/>
    </row>
    <row r="53" spans="1:7" hidden="1" outlineLevel="2" x14ac:dyDescent="0.35">
      <c r="A53" s="2" t="s">
        <v>140</v>
      </c>
      <c r="B53" s="36">
        <f>SUM(B51:B52)</f>
        <v>0</v>
      </c>
      <c r="C53" s="36">
        <f>SUM(C51:C52)</f>
        <v>0</v>
      </c>
      <c r="D53" s="36">
        <f>SUM(D51:D52)</f>
        <v>3250</v>
      </c>
      <c r="E53" s="36">
        <f>SUM(E51:E52)</f>
        <v>6500</v>
      </c>
      <c r="G53" s="36"/>
    </row>
    <row r="54" spans="1:7" hidden="1" outlineLevel="2" x14ac:dyDescent="0.35"/>
    <row r="55" spans="1:7" hidden="1" outlineLevel="2" x14ac:dyDescent="0.35">
      <c r="A55" s="2" t="s">
        <v>139</v>
      </c>
      <c r="B55" s="76" t="s">
        <v>106</v>
      </c>
      <c r="C55" s="76" t="s">
        <v>106</v>
      </c>
      <c r="D55" s="93">
        <v>50000</v>
      </c>
      <c r="E55" s="93">
        <v>50000</v>
      </c>
      <c r="G55" s="92"/>
    </row>
    <row r="56" spans="1:7" hidden="1" outlineLevel="2" x14ac:dyDescent="0.35">
      <c r="A56" s="2" t="s">
        <v>138</v>
      </c>
      <c r="B56" s="77" t="s">
        <v>106</v>
      </c>
      <c r="C56" s="77" t="s">
        <v>106</v>
      </c>
      <c r="D56" s="91">
        <v>0.05</v>
      </c>
      <c r="E56" s="91">
        <v>0.05</v>
      </c>
      <c r="G56" s="90"/>
    </row>
    <row r="57" spans="1:7" hidden="1" outlineLevel="2" x14ac:dyDescent="0.35">
      <c r="A57" s="2" t="s">
        <v>137</v>
      </c>
      <c r="B57" s="76" t="s">
        <v>106</v>
      </c>
      <c r="C57" s="76" t="s">
        <v>106</v>
      </c>
      <c r="D57" s="47">
        <f>D55*D56</f>
        <v>2500</v>
      </c>
      <c r="E57" s="47">
        <f>E55*E56</f>
        <v>2500</v>
      </c>
      <c r="G57" s="47"/>
    </row>
    <row r="58" spans="1:7" hidden="1" outlineLevel="2" x14ac:dyDescent="0.35">
      <c r="B58" s="76"/>
      <c r="C58" s="76"/>
      <c r="D58" s="36"/>
      <c r="E58" s="36"/>
      <c r="G58" s="36"/>
    </row>
    <row r="59" spans="1:7" hidden="1" outlineLevel="2" x14ac:dyDescent="0.35">
      <c r="A59" s="2" t="s">
        <v>136</v>
      </c>
      <c r="B59" s="76" t="s">
        <v>106</v>
      </c>
      <c r="C59" s="76" t="s">
        <v>106</v>
      </c>
      <c r="D59" s="36">
        <f>-$D$57*(1/2)</f>
        <v>-1250</v>
      </c>
      <c r="E59" s="36">
        <f>-$D$57*(1/2)</f>
        <v>-1250</v>
      </c>
      <c r="G59" s="36"/>
    </row>
    <row r="60" spans="1:7" hidden="1" outlineLevel="2" x14ac:dyDescent="0.35">
      <c r="A60" s="2" t="s">
        <v>135</v>
      </c>
      <c r="B60" s="77" t="s">
        <v>106</v>
      </c>
      <c r="C60" s="77" t="s">
        <v>106</v>
      </c>
      <c r="D60" s="37">
        <v>0</v>
      </c>
      <c r="E60" s="37">
        <f>-$E$57*(1/2)</f>
        <v>-1250</v>
      </c>
      <c r="G60" s="36"/>
    </row>
    <row r="61" spans="1:7" hidden="1" outlineLevel="2" x14ac:dyDescent="0.35">
      <c r="A61" s="2" t="s">
        <v>134</v>
      </c>
      <c r="B61" s="36">
        <f>SUM(B59:B60)</f>
        <v>0</v>
      </c>
      <c r="C61" s="36">
        <f>SUM(C59:C60)</f>
        <v>0</v>
      </c>
      <c r="D61" s="36">
        <f>SUM(D59:D60)</f>
        <v>-1250</v>
      </c>
      <c r="E61" s="36">
        <f>SUM(E59:E60)</f>
        <v>-2500</v>
      </c>
      <c r="G61" s="36"/>
    </row>
    <row r="62" spans="1:7" hidden="1" outlineLevel="2" x14ac:dyDescent="0.35">
      <c r="A62" s="89" t="s">
        <v>133</v>
      </c>
      <c r="B62" s="88" t="s">
        <v>106</v>
      </c>
      <c r="C62" s="88" t="s">
        <v>106</v>
      </c>
      <c r="D62" s="87">
        <f>D53+D61</f>
        <v>2000</v>
      </c>
      <c r="E62" s="87">
        <f>E53+E61</f>
        <v>4000</v>
      </c>
      <c r="G62" s="61"/>
    </row>
    <row r="63" spans="1:7" hidden="1" outlineLevel="2" collapsed="1" x14ac:dyDescent="0.35"/>
    <row r="64" spans="1:7" hidden="1" outlineLevel="2" x14ac:dyDescent="0.35">
      <c r="A64" s="86" t="s">
        <v>132</v>
      </c>
    </row>
    <row r="65" spans="1:9" hidden="1" outlineLevel="2" x14ac:dyDescent="0.35">
      <c r="A65" s="31" t="s">
        <v>131</v>
      </c>
      <c r="B65" s="11" t="s">
        <v>126</v>
      </c>
      <c r="C65" s="11" t="s">
        <v>7</v>
      </c>
      <c r="D65" s="11" t="s">
        <v>6</v>
      </c>
      <c r="E65" s="11" t="s">
        <v>5</v>
      </c>
      <c r="G65" s="22"/>
    </row>
    <row r="66" spans="1:9" hidden="1" outlineLevel="2" x14ac:dyDescent="0.35">
      <c r="A66" s="2" t="s">
        <v>130</v>
      </c>
      <c r="B66" s="76" t="s">
        <v>106</v>
      </c>
      <c r="C66" s="76" t="s">
        <v>106</v>
      </c>
      <c r="D66" s="3">
        <f>C69</f>
        <v>1349000</v>
      </c>
      <c r="E66" s="3">
        <f>D69</f>
        <v>1421500</v>
      </c>
      <c r="G66" s="3"/>
    </row>
    <row r="67" spans="1:9" hidden="1" outlineLevel="2" x14ac:dyDescent="0.35">
      <c r="A67" s="63" t="s">
        <v>129</v>
      </c>
      <c r="B67" s="85" t="s">
        <v>106</v>
      </c>
      <c r="C67" s="85" t="s">
        <v>106</v>
      </c>
      <c r="D67" s="84">
        <f>D47-D55</f>
        <v>50000</v>
      </c>
      <c r="E67" s="84">
        <f>E47-E55</f>
        <v>50000</v>
      </c>
      <c r="G67" s="84"/>
    </row>
    <row r="68" spans="1:9" hidden="1" outlineLevel="2" x14ac:dyDescent="0.35">
      <c r="A68" s="2" t="s">
        <v>112</v>
      </c>
      <c r="B68" s="83"/>
      <c r="C68" s="77" t="s">
        <v>106</v>
      </c>
      <c r="D68" s="83">
        <f>AVERAGE(40000,50000)/2</f>
        <v>22500</v>
      </c>
      <c r="E68" s="83">
        <f>AVERAGE(40000,50000)/2</f>
        <v>22500</v>
      </c>
      <c r="G68" s="81"/>
    </row>
    <row r="69" spans="1:9" hidden="1" outlineLevel="2" x14ac:dyDescent="0.35">
      <c r="A69" s="2" t="s">
        <v>128</v>
      </c>
      <c r="B69" s="76" t="s">
        <v>106</v>
      </c>
      <c r="C69" s="82">
        <f>C29</f>
        <v>1349000</v>
      </c>
      <c r="D69" s="3">
        <f>SUM(D66:D68)</f>
        <v>1421500</v>
      </c>
      <c r="E69" s="3">
        <f>SUM(E66:E68)</f>
        <v>1494000</v>
      </c>
      <c r="G69" s="3"/>
    </row>
    <row r="70" spans="1:9" hidden="1" outlineLevel="2" x14ac:dyDescent="0.35"/>
    <row r="71" spans="1:9" hidden="1" outlineLevel="2" collapsed="1" x14ac:dyDescent="0.35">
      <c r="A71" s="31" t="s">
        <v>127</v>
      </c>
      <c r="B71" s="11" t="s">
        <v>126</v>
      </c>
      <c r="C71" s="11" t="s">
        <v>7</v>
      </c>
      <c r="D71" s="11" t="s">
        <v>6</v>
      </c>
      <c r="E71" s="11" t="s">
        <v>5</v>
      </c>
      <c r="G71" s="22"/>
    </row>
    <row r="72" spans="1:9" hidden="1" outlineLevel="2" x14ac:dyDescent="0.35">
      <c r="A72" s="2" t="s">
        <v>125</v>
      </c>
      <c r="B72" s="76" t="s">
        <v>106</v>
      </c>
      <c r="C72" s="76" t="s">
        <v>106</v>
      </c>
      <c r="D72" s="25">
        <v>0</v>
      </c>
      <c r="E72" s="81">
        <f>(910+2950/80%)*49%</f>
        <v>2252.7750000000001</v>
      </c>
      <c r="G72" s="81"/>
      <c r="I72" s="80"/>
    </row>
    <row r="73" spans="1:9" hidden="1" outlineLevel="2" x14ac:dyDescent="0.35">
      <c r="A73" s="2" t="s">
        <v>124</v>
      </c>
      <c r="B73" s="77" t="s">
        <v>106</v>
      </c>
      <c r="C73" s="77" t="s">
        <v>106</v>
      </c>
      <c r="D73" s="7">
        <v>0</v>
      </c>
      <c r="E73" s="79">
        <v>0.82</v>
      </c>
      <c r="G73" s="78"/>
    </row>
    <row r="74" spans="1:9" hidden="1" outlineLevel="2" x14ac:dyDescent="0.35">
      <c r="A74" s="2" t="s">
        <v>123</v>
      </c>
      <c r="B74" s="76" t="s">
        <v>106</v>
      </c>
      <c r="C74" s="76" t="s">
        <v>106</v>
      </c>
      <c r="D74" s="25">
        <v>0</v>
      </c>
      <c r="E74" s="25">
        <f>E72*E73</f>
        <v>1847.2755</v>
      </c>
      <c r="G74" s="25"/>
    </row>
    <row r="75" spans="1:9" hidden="1" outlineLevel="2" x14ac:dyDescent="0.35">
      <c r="A75" s="2" t="s">
        <v>122</v>
      </c>
      <c r="B75" s="76" t="s">
        <v>106</v>
      </c>
      <c r="C75" s="76" t="s">
        <v>106</v>
      </c>
      <c r="D75" s="25">
        <f>-D79*D80</f>
        <v>-1484.145</v>
      </c>
      <c r="E75" s="25">
        <f>-E79*E80</f>
        <v>-1484.145</v>
      </c>
      <c r="G75" s="25"/>
    </row>
    <row r="76" spans="1:9" hidden="1" outlineLevel="2" x14ac:dyDescent="0.35">
      <c r="A76" s="2" t="s">
        <v>121</v>
      </c>
      <c r="B76" s="77" t="s">
        <v>106</v>
      </c>
      <c r="C76" s="77" t="s">
        <v>106</v>
      </c>
      <c r="D76" s="7">
        <v>0</v>
      </c>
      <c r="E76" s="7">
        <v>0</v>
      </c>
      <c r="G76" s="25"/>
    </row>
    <row r="77" spans="1:9" hidden="1" outlineLevel="2" x14ac:dyDescent="0.35">
      <c r="A77" s="2" t="s">
        <v>120</v>
      </c>
      <c r="B77" s="76" t="s">
        <v>106</v>
      </c>
      <c r="C77" s="76" t="s">
        <v>106</v>
      </c>
      <c r="D77" s="3">
        <f>SUM(D74:D76)</f>
        <v>-1484.145</v>
      </c>
      <c r="E77" s="3">
        <f>SUM(E74:E76)</f>
        <v>363.13049999999998</v>
      </c>
      <c r="G77" s="3"/>
    </row>
    <row r="78" spans="1:9" hidden="1" outlineLevel="2" x14ac:dyDescent="0.35"/>
    <row r="79" spans="1:9" hidden="1" outlineLevel="2" x14ac:dyDescent="0.35">
      <c r="A79" s="2" t="s">
        <v>119</v>
      </c>
      <c r="B79" s="76" t="s">
        <v>106</v>
      </c>
      <c r="C79" s="71">
        <v>34515</v>
      </c>
      <c r="D79" s="36">
        <f>C79</f>
        <v>34515</v>
      </c>
      <c r="E79" s="36">
        <f>D79</f>
        <v>34515</v>
      </c>
      <c r="G79" s="36"/>
    </row>
    <row r="80" spans="1:9" hidden="1" outlineLevel="2" collapsed="1" x14ac:dyDescent="0.35">
      <c r="A80" s="2" t="s">
        <v>118</v>
      </c>
      <c r="B80" s="76" t="s">
        <v>106</v>
      </c>
      <c r="C80" s="9">
        <v>4.2999999999999997E-2</v>
      </c>
      <c r="D80" s="14">
        <f>C80</f>
        <v>4.2999999999999997E-2</v>
      </c>
      <c r="E80" s="14">
        <f>D80</f>
        <v>4.2999999999999997E-2</v>
      </c>
      <c r="G80" s="14"/>
    </row>
    <row r="81" spans="1:8" hidden="1" outlineLevel="2" x14ac:dyDescent="0.35"/>
    <row r="82" spans="1:8" hidden="1" outlineLevel="1" x14ac:dyDescent="0.35">
      <c r="G82" s="22"/>
    </row>
    <row r="83" spans="1:8" hidden="1" outlineLevel="1" x14ac:dyDescent="0.35">
      <c r="G83" s="64"/>
      <c r="H83"/>
    </row>
    <row r="84" spans="1:8" hidden="1" outlineLevel="1" x14ac:dyDescent="0.35">
      <c r="A84" s="31" t="s">
        <v>117</v>
      </c>
      <c r="B84" s="11"/>
      <c r="C84" s="11" t="s">
        <v>7</v>
      </c>
      <c r="D84" s="11" t="s">
        <v>6</v>
      </c>
      <c r="E84" s="11" t="s">
        <v>5</v>
      </c>
      <c r="G84" s="64"/>
      <c r="H84"/>
    </row>
    <row r="85" spans="1:8" hidden="1" outlineLevel="1" x14ac:dyDescent="0.35">
      <c r="A85" s="2" t="s">
        <v>116</v>
      </c>
      <c r="C85" s="75" t="s">
        <v>106</v>
      </c>
      <c r="D85" s="64">
        <f>C88</f>
        <v>7826</v>
      </c>
      <c r="E85" s="64">
        <f>D88</f>
        <v>10257.321117817517</v>
      </c>
      <c r="G85" s="64"/>
      <c r="H85"/>
    </row>
    <row r="86" spans="1:8" hidden="1" outlineLevel="1" x14ac:dyDescent="0.35">
      <c r="A86" s="2" t="s">
        <v>113</v>
      </c>
      <c r="C86" s="74" t="s">
        <v>106</v>
      </c>
      <c r="D86" s="64">
        <f>D90</f>
        <v>3120.46875</v>
      </c>
      <c r="E86" s="64">
        <f>E90</f>
        <v>3120.46875</v>
      </c>
      <c r="G86" s="64"/>
      <c r="H86"/>
    </row>
    <row r="87" spans="1:8" hidden="1" outlineLevel="1" x14ac:dyDescent="0.35">
      <c r="A87" s="2" t="s">
        <v>115</v>
      </c>
      <c r="C87" s="73" t="s">
        <v>106</v>
      </c>
      <c r="D87" s="65">
        <f>D98</f>
        <v>-689.14763218248311</v>
      </c>
      <c r="E87" s="65">
        <f>E98</f>
        <v>-808.29526436496621</v>
      </c>
      <c r="G87" s="72"/>
      <c r="H87"/>
    </row>
    <row r="88" spans="1:8" hidden="1" outlineLevel="1" x14ac:dyDescent="0.35">
      <c r="A88" s="2" t="s">
        <v>114</v>
      </c>
      <c r="B88"/>
      <c r="C88" s="64">
        <f>C31</f>
        <v>7826</v>
      </c>
      <c r="D88" s="64">
        <f>SUM(D85:D87)</f>
        <v>10257.321117817517</v>
      </c>
      <c r="E88" s="64">
        <f>SUM(E85:E87)</f>
        <v>12569.494603452551</v>
      </c>
      <c r="G88" s="64"/>
      <c r="H88"/>
    </row>
    <row r="89" spans="1:8" hidden="1" outlineLevel="1" x14ac:dyDescent="0.35">
      <c r="A89" s="1"/>
      <c r="B89"/>
      <c r="C89" s="70"/>
      <c r="D89" s="72"/>
      <c r="E89" s="72"/>
      <c r="G89" s="64"/>
      <c r="H89"/>
    </row>
    <row r="90" spans="1:8" hidden="1" outlineLevel="1" x14ac:dyDescent="0.35">
      <c r="A90" s="2" t="s">
        <v>113</v>
      </c>
      <c r="B90" s="71"/>
      <c r="C90" s="10">
        <f>2244-25</f>
        <v>2219</v>
      </c>
      <c r="D90" s="64">
        <f>D91*D92</f>
        <v>3120.46875</v>
      </c>
      <c r="E90" s="64">
        <f>E91*E92</f>
        <v>3120.46875</v>
      </c>
      <c r="G90" s="70"/>
      <c r="H90"/>
    </row>
    <row r="91" spans="1:8" hidden="1" outlineLevel="1" x14ac:dyDescent="0.35">
      <c r="A91" s="2" t="s">
        <v>112</v>
      </c>
      <c r="B91" s="71"/>
      <c r="C91" s="10">
        <v>16000</v>
      </c>
      <c r="D91" s="64">
        <f>D68</f>
        <v>22500</v>
      </c>
      <c r="E91" s="64">
        <f>E68</f>
        <v>22500</v>
      </c>
      <c r="G91" s="68"/>
      <c r="H91"/>
    </row>
    <row r="92" spans="1:8" hidden="1" outlineLevel="1" x14ac:dyDescent="0.35">
      <c r="A92" s="50" t="s">
        <v>111</v>
      </c>
      <c r="B92"/>
      <c r="C92" s="70">
        <f>C90/C91</f>
        <v>0.13868749999999999</v>
      </c>
      <c r="D92" s="70">
        <f>$C$92</f>
        <v>0.13868749999999999</v>
      </c>
      <c r="E92" s="70">
        <f>D92</f>
        <v>0.13868749999999999</v>
      </c>
    </row>
    <row r="93" spans="1:8" hidden="1" outlineLevel="1" x14ac:dyDescent="0.35">
      <c r="A93" s="50" t="s">
        <v>110</v>
      </c>
      <c r="B93"/>
      <c r="C93" s="69">
        <f>AVERAGE(6957,9176)/308</f>
        <v>26.189935064935064</v>
      </c>
      <c r="D93" s="68">
        <f>$C$93</f>
        <v>26.189935064935064</v>
      </c>
      <c r="E93" s="68">
        <f>D93</f>
        <v>26.189935064935064</v>
      </c>
      <c r="G93" s="64"/>
    </row>
    <row r="94" spans="1:8" collapsed="1" x14ac:dyDescent="0.35">
      <c r="A94" s="1"/>
      <c r="G94" s="64"/>
    </row>
    <row r="95" spans="1:8" x14ac:dyDescent="0.35">
      <c r="A95" s="2" t="s">
        <v>109</v>
      </c>
      <c r="B95"/>
      <c r="C95" s="64">
        <f>C14</f>
        <v>-570</v>
      </c>
      <c r="D95" s="64">
        <f>C95</f>
        <v>-570</v>
      </c>
      <c r="E95" s="64">
        <f>D95</f>
        <v>-570</v>
      </c>
      <c r="G95" s="64"/>
    </row>
    <row r="96" spans="1:8" x14ac:dyDescent="0.35">
      <c r="A96" s="2" t="s">
        <v>108</v>
      </c>
      <c r="B96"/>
      <c r="C96" s="67" t="s">
        <v>106</v>
      </c>
      <c r="D96" s="64">
        <f>-D$90/D$93</f>
        <v>-119.14763218248312</v>
      </c>
      <c r="E96" s="64">
        <f>D96</f>
        <v>-119.14763218248312</v>
      </c>
      <c r="G96" s="64"/>
    </row>
    <row r="97" spans="1:7" x14ac:dyDescent="0.35">
      <c r="A97" s="2" t="s">
        <v>107</v>
      </c>
      <c r="B97"/>
      <c r="C97" s="66" t="s">
        <v>106</v>
      </c>
      <c r="D97" s="66" t="s">
        <v>106</v>
      </c>
      <c r="E97" s="65">
        <f>-E$90/E$93</f>
        <v>-119.14763218248312</v>
      </c>
    </row>
    <row r="98" spans="1:7" x14ac:dyDescent="0.35">
      <c r="A98" s="2" t="s">
        <v>105</v>
      </c>
      <c r="B98"/>
      <c r="C98" s="64">
        <f>SUM(C95:C97)</f>
        <v>-570</v>
      </c>
      <c r="D98" s="64">
        <f>SUM(D95:D97)</f>
        <v>-689.14763218248311</v>
      </c>
      <c r="E98" s="64">
        <f>SUM(E95:E97)</f>
        <v>-808.29526436496621</v>
      </c>
    </row>
    <row r="99" spans="1:7" x14ac:dyDescent="0.35">
      <c r="G99" s="22"/>
    </row>
    <row r="100" spans="1:7" hidden="1" outlineLevel="1" x14ac:dyDescent="0.35">
      <c r="G100" s="62"/>
    </row>
    <row r="101" spans="1:7" hidden="1" outlineLevel="1" x14ac:dyDescent="0.35">
      <c r="A101" s="31" t="s">
        <v>104</v>
      </c>
      <c r="B101" s="30"/>
      <c r="C101" s="11" t="s">
        <v>7</v>
      </c>
      <c r="D101" s="11" t="s">
        <v>6</v>
      </c>
      <c r="E101" s="11" t="s">
        <v>5</v>
      </c>
      <c r="G101" s="3"/>
    </row>
    <row r="102" spans="1:7" hidden="1" outlineLevel="1" x14ac:dyDescent="0.35">
      <c r="A102" s="63" t="s">
        <v>103</v>
      </c>
      <c r="B102" s="23"/>
      <c r="C102" s="62">
        <f>C33</f>
        <v>14221</v>
      </c>
      <c r="D102" s="62">
        <f>(D103*D104)/365</f>
        <v>14824.655863245562</v>
      </c>
      <c r="E102" s="62">
        <f>(E103*E104)/365</f>
        <v>15759.620707001595</v>
      </c>
      <c r="G102" s="60"/>
    </row>
    <row r="103" spans="1:7" hidden="1" outlineLevel="1" x14ac:dyDescent="0.35">
      <c r="A103" s="2" t="s">
        <v>102</v>
      </c>
      <c r="C103" s="3">
        <f>C6</f>
        <v>89094</v>
      </c>
      <c r="D103" s="3">
        <f>D6</f>
        <v>92875.88</v>
      </c>
      <c r="E103" s="3">
        <f>E6</f>
        <v>98733.397600000011</v>
      </c>
    </row>
    <row r="104" spans="1:7" hidden="1" outlineLevel="1" x14ac:dyDescent="0.35">
      <c r="A104" s="2" t="s">
        <v>101</v>
      </c>
      <c r="C104" s="60">
        <f>(C102/C103)*365</f>
        <v>58.26054504231486</v>
      </c>
      <c r="D104" s="60">
        <f>C104</f>
        <v>58.26054504231486</v>
      </c>
      <c r="E104" s="60">
        <f>D104</f>
        <v>58.26054504231486</v>
      </c>
      <c r="G104" s="62"/>
    </row>
    <row r="105" spans="1:7" hidden="1" outlineLevel="1" x14ac:dyDescent="0.35">
      <c r="G105" s="61"/>
    </row>
    <row r="106" spans="1:7" hidden="1" outlineLevel="1" x14ac:dyDescent="0.35">
      <c r="A106" s="2" t="s">
        <v>100</v>
      </c>
      <c r="C106" s="61">
        <f>C40</f>
        <v>3024</v>
      </c>
      <c r="D106" s="62">
        <f>(D107*D108)/365</f>
        <v>3055.5162346246261</v>
      </c>
      <c r="E106" s="62">
        <f>(E107*E108)/365</f>
        <v>3145.2671416345124</v>
      </c>
      <c r="G106" s="60"/>
    </row>
    <row r="107" spans="1:7" hidden="1" outlineLevel="1" x14ac:dyDescent="0.35">
      <c r="A107" s="2" t="s">
        <v>97</v>
      </c>
      <c r="C107" s="61">
        <f>-C7</f>
        <v>7250</v>
      </c>
      <c r="D107" s="61">
        <f>-D7</f>
        <v>7325.5597556311322</v>
      </c>
      <c r="E107" s="61">
        <f>-E7</f>
        <v>7540.7363680060234</v>
      </c>
    </row>
    <row r="108" spans="1:7" hidden="1" outlineLevel="1" x14ac:dyDescent="0.35">
      <c r="A108" s="2" t="s">
        <v>99</v>
      </c>
      <c r="C108" s="60">
        <f>(C106/C107)*365</f>
        <v>152.24275862068964</v>
      </c>
      <c r="D108" s="60">
        <f>C108</f>
        <v>152.24275862068964</v>
      </c>
      <c r="E108" s="60">
        <f>D108</f>
        <v>152.24275862068964</v>
      </c>
      <c r="G108" s="62"/>
    </row>
    <row r="109" spans="1:7" hidden="1" outlineLevel="1" x14ac:dyDescent="0.35">
      <c r="G109" s="61"/>
    </row>
    <row r="110" spans="1:7" hidden="1" outlineLevel="1" x14ac:dyDescent="0.35">
      <c r="A110" s="2" t="s">
        <v>98</v>
      </c>
      <c r="C110" s="3">
        <f>C39</f>
        <v>9494</v>
      </c>
      <c r="D110" s="62">
        <f>(D111*D112)/365</f>
        <v>9592.9468027533749</v>
      </c>
      <c r="E110" s="62">
        <f>(E111*E112)/365</f>
        <v>9874.7242865998869</v>
      </c>
      <c r="G110" s="60"/>
    </row>
    <row r="111" spans="1:7" hidden="1" outlineLevel="1" x14ac:dyDescent="0.35">
      <c r="A111" s="2" t="s">
        <v>97</v>
      </c>
      <c r="C111" s="61">
        <f>-C7</f>
        <v>7250</v>
      </c>
      <c r="D111" s="61">
        <f>-D7</f>
        <v>7325.5597556311322</v>
      </c>
      <c r="E111" s="61">
        <f>-E7</f>
        <v>7540.7363680060234</v>
      </c>
      <c r="G111" s="60"/>
    </row>
    <row r="112" spans="1:7" hidden="1" outlineLevel="1" x14ac:dyDescent="0.35">
      <c r="A112" s="2" t="s">
        <v>96</v>
      </c>
      <c r="C112" s="60">
        <f>(C110/C111)*365</f>
        <v>477.97379310344826</v>
      </c>
      <c r="D112" s="60">
        <f>C112</f>
        <v>477.97379310344826</v>
      </c>
      <c r="E112" s="60">
        <f>D112</f>
        <v>477.97379310344826</v>
      </c>
      <c r="G112" s="60"/>
    </row>
    <row r="113" spans="1:7" hidden="1" outlineLevel="1" collapsed="1" x14ac:dyDescent="0.35"/>
    <row r="114" spans="1:7" collapsed="1" x14ac:dyDescent="0.35">
      <c r="A114" s="31" t="s">
        <v>95</v>
      </c>
      <c r="B114" s="30"/>
      <c r="C114" s="11"/>
      <c r="D114" s="11" t="s">
        <v>6</v>
      </c>
      <c r="E114" s="11" t="s">
        <v>5</v>
      </c>
      <c r="G114" s="22"/>
    </row>
    <row r="115" spans="1:7" x14ac:dyDescent="0.35">
      <c r="A115" s="2" t="s">
        <v>180</v>
      </c>
      <c r="C115"/>
      <c r="D115" s="118"/>
      <c r="E115" s="118"/>
      <c r="F115"/>
      <c r="G115" s="115"/>
    </row>
    <row r="116" spans="1:7" x14ac:dyDescent="0.35">
      <c r="A116" s="2" t="s">
        <v>93</v>
      </c>
      <c r="C116"/>
      <c r="D116" s="119"/>
      <c r="E116" s="119"/>
      <c r="F116"/>
      <c r="G116"/>
    </row>
    <row r="117" spans="1:7" x14ac:dyDescent="0.35">
      <c r="A117" s="2" t="s">
        <v>92</v>
      </c>
      <c r="C117"/>
      <c r="D117" s="47">
        <f>SUM(D115:D116)</f>
        <v>0</v>
      </c>
      <c r="E117" s="47">
        <f>SUM(E115:E116)</f>
        <v>0</v>
      </c>
      <c r="F117"/>
      <c r="G117" s="47"/>
    </row>
    <row r="118" spans="1:7" ht="5.15" customHeight="1" x14ac:dyDescent="0.35">
      <c r="C118"/>
      <c r="D118" s="59"/>
      <c r="E118" s="59"/>
      <c r="G118" s="59"/>
    </row>
    <row r="119" spans="1:7" x14ac:dyDescent="0.35">
      <c r="A119" s="58" t="s">
        <v>91</v>
      </c>
      <c r="C119"/>
      <c r="D119" s="53"/>
      <c r="E119" s="53"/>
      <c r="G119" s="53"/>
    </row>
    <row r="120" spans="1:7" x14ac:dyDescent="0.35">
      <c r="A120" s="2" t="s">
        <v>90</v>
      </c>
      <c r="C120"/>
      <c r="D120" s="117"/>
      <c r="E120" s="117"/>
      <c r="F120"/>
      <c r="G120" s="115"/>
    </row>
    <row r="121" spans="1:7" x14ac:dyDescent="0.35">
      <c r="A121" s="1" t="s">
        <v>89</v>
      </c>
      <c r="C121"/>
      <c r="D121" s="117"/>
      <c r="E121" s="117"/>
      <c r="F121"/>
      <c r="G121" s="33"/>
    </row>
    <row r="122" spans="1:7" x14ac:dyDescent="0.35">
      <c r="A122" s="1" t="s">
        <v>88</v>
      </c>
      <c r="C122"/>
      <c r="D122" s="117"/>
      <c r="E122" s="117"/>
      <c r="F122"/>
      <c r="G122" s="33"/>
    </row>
    <row r="123" spans="1:7" x14ac:dyDescent="0.35">
      <c r="A123" s="1" t="s">
        <v>87</v>
      </c>
      <c r="C123"/>
      <c r="D123" s="117"/>
      <c r="E123" s="117"/>
      <c r="F123"/>
      <c r="G123" s="33"/>
    </row>
    <row r="124" spans="1:7" x14ac:dyDescent="0.35">
      <c r="A124" s="1" t="s">
        <v>86</v>
      </c>
      <c r="C124"/>
      <c r="D124" s="117"/>
      <c r="E124" s="117"/>
      <c r="F124"/>
      <c r="G124" s="33"/>
    </row>
    <row r="125" spans="1:7" x14ac:dyDescent="0.35">
      <c r="A125" s="1" t="s">
        <v>85</v>
      </c>
      <c r="C125"/>
      <c r="D125" s="117"/>
      <c r="E125" s="117"/>
      <c r="F125"/>
      <c r="G125" s="33"/>
    </row>
    <row r="126" spans="1:7" x14ac:dyDescent="0.35">
      <c r="A126" s="1" t="s">
        <v>84</v>
      </c>
      <c r="C126"/>
      <c r="D126" s="117"/>
      <c r="E126" s="117"/>
      <c r="F126"/>
      <c r="G126" s="33"/>
    </row>
    <row r="127" spans="1:7" x14ac:dyDescent="0.35">
      <c r="A127" s="1" t="s">
        <v>83</v>
      </c>
      <c r="C127"/>
      <c r="D127" s="116"/>
      <c r="E127" s="116"/>
      <c r="F127"/>
      <c r="G127" s="56"/>
    </row>
    <row r="128" spans="1:7" x14ac:dyDescent="0.35">
      <c r="A128" s="2" t="s">
        <v>82</v>
      </c>
      <c r="C128"/>
      <c r="D128" s="55">
        <f>SUM(D120:D127)</f>
        <v>0</v>
      </c>
      <c r="E128" s="55">
        <f>SUM(E120:E127)</f>
        <v>0</v>
      </c>
      <c r="F128" s="121">
        <f>IF(E128=0,ABS(E128-'Full Model - Complete'!E128),-ABS(E128-'Full Model - Complete'!E128))</f>
        <v>75738.740438534674</v>
      </c>
      <c r="G128" s="33"/>
    </row>
    <row r="129" spans="1:7" ht="5.15" customHeight="1" x14ac:dyDescent="0.35">
      <c r="C129"/>
      <c r="D129" s="54"/>
      <c r="E129" s="54"/>
      <c r="G129" s="53"/>
    </row>
    <row r="130" spans="1:7" x14ac:dyDescent="0.35">
      <c r="A130" s="2" t="s">
        <v>81</v>
      </c>
      <c r="C130"/>
      <c r="D130" s="52">
        <f>D117+D128</f>
        <v>0</v>
      </c>
      <c r="E130" s="52">
        <f>E117+E128</f>
        <v>0</v>
      </c>
      <c r="F130"/>
      <c r="G130" s="47"/>
    </row>
    <row r="131" spans="1:7" collapsed="1" x14ac:dyDescent="0.35">
      <c r="C131" s="51"/>
      <c r="D131" s="10"/>
      <c r="E131" s="10"/>
      <c r="G131" s="10"/>
    </row>
    <row r="132" spans="1:7" x14ac:dyDescent="0.35">
      <c r="A132" s="31" t="s">
        <v>80</v>
      </c>
      <c r="B132" s="30"/>
      <c r="C132" s="11" t="s">
        <v>7</v>
      </c>
      <c r="D132" s="11" t="s">
        <v>6</v>
      </c>
      <c r="E132" s="11" t="s">
        <v>5</v>
      </c>
      <c r="G132" s="115"/>
    </row>
    <row r="133" spans="1:7" x14ac:dyDescent="0.35">
      <c r="A133" s="2" t="s">
        <v>79</v>
      </c>
      <c r="C133" s="39"/>
      <c r="D133" s="117"/>
      <c r="E133" s="117"/>
      <c r="F133" s="33"/>
      <c r="G133"/>
    </row>
    <row r="134" spans="1:7" x14ac:dyDescent="0.35">
      <c r="A134" s="2" t="s">
        <v>78</v>
      </c>
      <c r="C134" s="48"/>
      <c r="D134" s="119"/>
      <c r="E134" s="119"/>
      <c r="G134"/>
    </row>
    <row r="135" spans="1:7" x14ac:dyDescent="0.35">
      <c r="A135" s="2" t="s">
        <v>77</v>
      </c>
      <c r="C135" s="39"/>
      <c r="D135" s="47">
        <f>SUM(D133:D134)</f>
        <v>0</v>
      </c>
      <c r="E135" s="47">
        <f>SUM(E133:E134)</f>
        <v>0</v>
      </c>
      <c r="F135"/>
      <c r="G135"/>
    </row>
    <row r="136" spans="1:7" x14ac:dyDescent="0.35">
      <c r="A136" s="50" t="s">
        <v>76</v>
      </c>
      <c r="C136" s="48"/>
      <c r="D136" s="49">
        <v>10000</v>
      </c>
      <c r="E136" s="49">
        <v>10000</v>
      </c>
      <c r="F136" s="49"/>
    </row>
    <row r="137" spans="1:7" x14ac:dyDescent="0.35">
      <c r="A137" s="2" t="s">
        <v>75</v>
      </c>
      <c r="C137" s="48"/>
      <c r="D137" s="118"/>
      <c r="E137" s="118"/>
      <c r="F137"/>
      <c r="G137" s="46" t="s">
        <v>74</v>
      </c>
    </row>
    <row r="138" spans="1:7" x14ac:dyDescent="0.35">
      <c r="A138" s="2" t="s">
        <v>73</v>
      </c>
      <c r="C138" s="38"/>
      <c r="D138" s="119"/>
      <c r="E138" s="119"/>
      <c r="F138"/>
      <c r="G138" s="45">
        <v>0</v>
      </c>
    </row>
    <row r="139" spans="1:7" x14ac:dyDescent="0.35">
      <c r="A139" s="2" t="s">
        <v>72</v>
      </c>
      <c r="C139" s="33">
        <f>C34</f>
        <v>120788</v>
      </c>
      <c r="D139" s="33">
        <f>SUM(D135,D137,D138)</f>
        <v>0</v>
      </c>
      <c r="E139" s="33">
        <f>SUM(E135,E137,E138)</f>
        <v>0</v>
      </c>
      <c r="F139"/>
      <c r="G139" s="44" t="s">
        <v>71</v>
      </c>
    </row>
    <row r="140" spans="1:7" x14ac:dyDescent="0.35">
      <c r="A140" s="2" t="s">
        <v>70</v>
      </c>
      <c r="C140" s="43"/>
      <c r="D140" s="42">
        <v>5.0000000000000001E-3</v>
      </c>
      <c r="E140" s="42">
        <v>5.0000000000000001E-3</v>
      </c>
      <c r="F140" s="41"/>
    </row>
    <row r="141" spans="1:7" x14ac:dyDescent="0.35">
      <c r="A141" s="2" t="s">
        <v>69</v>
      </c>
      <c r="C141" s="33"/>
      <c r="D141" s="33">
        <f>AVERAGE(D139,D133)*D140</f>
        <v>0</v>
      </c>
      <c r="E141" s="33">
        <f>AVERAGE(E139,E133)*E140</f>
        <v>0</v>
      </c>
      <c r="F141" s="34"/>
    </row>
    <row r="142" spans="1:7" x14ac:dyDescent="0.35">
      <c r="C142" s="33"/>
      <c r="D142" s="33"/>
      <c r="E142" s="33"/>
      <c r="F142" s="3"/>
    </row>
    <row r="143" spans="1:7" x14ac:dyDescent="0.35">
      <c r="A143" s="31" t="s">
        <v>68</v>
      </c>
      <c r="B143" s="30"/>
      <c r="C143" s="40" t="s">
        <v>7</v>
      </c>
      <c r="D143" s="40" t="s">
        <v>6</v>
      </c>
      <c r="E143" s="40" t="s">
        <v>5</v>
      </c>
      <c r="F143" s="22"/>
    </row>
    <row r="144" spans="1:7" x14ac:dyDescent="0.35">
      <c r="A144" s="2" t="s">
        <v>67</v>
      </c>
      <c r="C144" s="39"/>
      <c r="D144" s="33">
        <f>C146</f>
        <v>794206</v>
      </c>
      <c r="E144" s="33">
        <f>D146</f>
        <v>794206</v>
      </c>
      <c r="F144" s="33"/>
    </row>
    <row r="145" spans="1:6" x14ac:dyDescent="0.35">
      <c r="A145" s="2" t="s">
        <v>66</v>
      </c>
      <c r="C145" s="38"/>
      <c r="D145" s="37">
        <f>SUM(D137:D138)</f>
        <v>0</v>
      </c>
      <c r="E145" s="37">
        <f>SUM(E137:E138)</f>
        <v>0</v>
      </c>
      <c r="F145" s="36"/>
    </row>
    <row r="146" spans="1:6" x14ac:dyDescent="0.35">
      <c r="A146" s="2" t="s">
        <v>65</v>
      </c>
      <c r="C146" s="33">
        <f>C37</f>
        <v>794206</v>
      </c>
      <c r="D146" s="33">
        <f>SUM(D144:D145)</f>
        <v>794206</v>
      </c>
      <c r="E146" s="33">
        <f>SUM(E144:E145)</f>
        <v>794206</v>
      </c>
      <c r="F146" s="33"/>
    </row>
    <row r="147" spans="1:6" x14ac:dyDescent="0.35">
      <c r="A147" s="2" t="s">
        <v>51</v>
      </c>
      <c r="C147" s="34"/>
      <c r="D147" s="35">
        <f>D176</f>
        <v>4.399967109184099E-2</v>
      </c>
      <c r="E147" s="35">
        <f>E176</f>
        <v>4.2963337257588087E-2</v>
      </c>
      <c r="F147" s="14"/>
    </row>
    <row r="148" spans="1:6" x14ac:dyDescent="0.35">
      <c r="A148" s="2" t="s">
        <v>64</v>
      </c>
      <c r="C148" s="34"/>
      <c r="D148" s="33">
        <f>AVERAGE(D144,D146)*D147</f>
        <v>34944.802779166668</v>
      </c>
      <c r="E148" s="33">
        <f>AVERAGE(E144,E146)*E147</f>
        <v>34121.740230000003</v>
      </c>
      <c r="F148" s="121">
        <f ca="1">IF(E148=0,ABS(E148-'Full Model - Complete'!E148),-ABS(E148-'Full Model - Complete'!E148))</f>
        <v>-162.39307805532007</v>
      </c>
    </row>
    <row r="149" spans="1:6" x14ac:dyDescent="0.35">
      <c r="C149" s="3"/>
      <c r="D149" s="3"/>
      <c r="E149" s="3"/>
      <c r="F149" s="3"/>
    </row>
    <row r="150" spans="1:6" hidden="1" outlineLevel="1" x14ac:dyDescent="0.35">
      <c r="A150" s="2" t="s">
        <v>63</v>
      </c>
      <c r="C150" s="3">
        <f>C218</f>
        <v>652685</v>
      </c>
      <c r="D150" s="3">
        <f>MAX(C150+D138-(D160-C160)-(D155-C155),0)</f>
        <v>652685</v>
      </c>
      <c r="E150" s="3">
        <f>MAX(D150+E138-(E160-D160)-(E155-D155),0)</f>
        <v>652685</v>
      </c>
      <c r="F150" s="3"/>
    </row>
    <row r="151" spans="1:6" hidden="1" outlineLevel="1" x14ac:dyDescent="0.35">
      <c r="A151" s="2" t="s">
        <v>62</v>
      </c>
      <c r="C151" s="3">
        <v>0</v>
      </c>
      <c r="D151" s="4">
        <f>D219</f>
        <v>3.2615098156078354E-2</v>
      </c>
      <c r="E151" s="4">
        <f>E219</f>
        <v>3.2615098156078354E-2</v>
      </c>
      <c r="F151" s="4"/>
    </row>
    <row r="152" spans="1:6" hidden="1" outlineLevel="1" x14ac:dyDescent="0.35">
      <c r="A152" s="2" t="s">
        <v>17</v>
      </c>
      <c r="C152" s="7">
        <v>0</v>
      </c>
      <c r="D152" s="16">
        <f>D211</f>
        <v>1.4718410588688578E-2</v>
      </c>
      <c r="E152" s="16">
        <f>E211</f>
        <v>1.4718410588688578E-2</v>
      </c>
      <c r="F152" s="15"/>
    </row>
    <row r="153" spans="1:6" hidden="1" outlineLevel="1" x14ac:dyDescent="0.35">
      <c r="A153" s="2" t="s">
        <v>61</v>
      </c>
      <c r="C153" s="3">
        <v>0</v>
      </c>
      <c r="D153" s="4">
        <f>D152+D151</f>
        <v>4.7333508744766932E-2</v>
      </c>
      <c r="E153" s="4">
        <f>E152+E151</f>
        <v>4.7333508744766932E-2</v>
      </c>
      <c r="F153" s="4"/>
    </row>
    <row r="154" spans="1:6" hidden="1" outlineLevel="1" x14ac:dyDescent="0.35">
      <c r="C154" s="3"/>
      <c r="D154" s="4"/>
      <c r="E154" s="4"/>
      <c r="F154" s="4"/>
    </row>
    <row r="155" spans="1:6" hidden="1" outlineLevel="1" x14ac:dyDescent="0.35">
      <c r="A155" s="2" t="s">
        <v>60</v>
      </c>
      <c r="C155" s="3">
        <f>C225</f>
        <v>108788</v>
      </c>
      <c r="D155" s="3">
        <f>MAX(C155+D138-(D160-C160),0)</f>
        <v>108788</v>
      </c>
      <c r="E155" s="3">
        <f>MAX(D155+E138-(E160-D160),0)</f>
        <v>108788</v>
      </c>
      <c r="F155" s="3"/>
    </row>
    <row r="156" spans="1:6" hidden="1" outlineLevel="1" x14ac:dyDescent="0.35">
      <c r="A156" s="2" t="s">
        <v>59</v>
      </c>
      <c r="C156" s="3">
        <v>0</v>
      </c>
      <c r="D156" s="4">
        <f>MIN(D192,D226)</f>
        <v>1.3905833333333334E-2</v>
      </c>
      <c r="E156" s="4">
        <f>MIN(E192,E226)</f>
        <v>8.0900000000000069E-3</v>
      </c>
      <c r="F156" s="4"/>
    </row>
    <row r="157" spans="1:6" hidden="1" outlineLevel="1" x14ac:dyDescent="0.35">
      <c r="A157" s="2" t="s">
        <v>17</v>
      </c>
      <c r="C157" s="7">
        <v>0</v>
      </c>
      <c r="D157" s="16">
        <f>D211</f>
        <v>1.4718410588688578E-2</v>
      </c>
      <c r="E157" s="16">
        <f>E211</f>
        <v>1.4718410588688578E-2</v>
      </c>
      <c r="F157" s="15"/>
    </row>
    <row r="158" spans="1:6" hidden="1" outlineLevel="1" x14ac:dyDescent="0.35">
      <c r="A158" s="2" t="s">
        <v>58</v>
      </c>
      <c r="C158" s="3">
        <v>0</v>
      </c>
      <c r="D158" s="4">
        <f>D157+D156</f>
        <v>2.8624243922021911E-2</v>
      </c>
      <c r="E158" s="4">
        <f>E157+E156</f>
        <v>2.2808410588688585E-2</v>
      </c>
      <c r="F158" s="4"/>
    </row>
    <row r="159" spans="1:6" hidden="1" outlineLevel="1" x14ac:dyDescent="0.35">
      <c r="C159" s="32"/>
      <c r="D159" s="4"/>
      <c r="E159" s="4"/>
      <c r="F159" s="4"/>
    </row>
    <row r="160" spans="1:6" hidden="1" outlineLevel="1" x14ac:dyDescent="0.35">
      <c r="A160" s="2" t="s">
        <v>57</v>
      </c>
      <c r="C160" s="3">
        <f>C146-C150-C155</f>
        <v>32733</v>
      </c>
      <c r="D160" s="3">
        <f>MAX(C160+D138,0)</f>
        <v>32733</v>
      </c>
      <c r="E160" s="3">
        <f>MAX(D160+E138,0)</f>
        <v>32733</v>
      </c>
      <c r="F160" s="3"/>
    </row>
    <row r="161" spans="1:6" hidden="1" outlineLevel="1" x14ac:dyDescent="0.35">
      <c r="A161" s="2" t="s">
        <v>54</v>
      </c>
      <c r="C161" s="3">
        <v>0</v>
      </c>
      <c r="D161" s="4">
        <f>D192</f>
        <v>1.3905833333333334E-2</v>
      </c>
      <c r="E161" s="4">
        <f>E192</f>
        <v>8.0900000000000069E-3</v>
      </c>
      <c r="F161" s="4"/>
    </row>
    <row r="162" spans="1:6" hidden="1" outlineLevel="1" x14ac:dyDescent="0.35">
      <c r="A162" s="2" t="s">
        <v>17</v>
      </c>
      <c r="C162" s="7">
        <v>0</v>
      </c>
      <c r="D162" s="16">
        <f>D211</f>
        <v>1.4718410588688578E-2</v>
      </c>
      <c r="E162" s="16">
        <f>E211</f>
        <v>1.4718410588688578E-2</v>
      </c>
      <c r="F162" s="15"/>
    </row>
    <row r="163" spans="1:6" hidden="1" outlineLevel="1" x14ac:dyDescent="0.35">
      <c r="A163" s="2" t="s">
        <v>53</v>
      </c>
      <c r="C163" s="3">
        <v>0</v>
      </c>
      <c r="D163" s="4">
        <f>D162+D161</f>
        <v>2.8624243922021911E-2</v>
      </c>
      <c r="E163" s="4">
        <f>E162+E161</f>
        <v>2.2808410588688585E-2</v>
      </c>
      <c r="F163" s="4"/>
    </row>
    <row r="164" spans="1:6" hidden="1" outlineLevel="1" x14ac:dyDescent="0.35">
      <c r="C164" s="32"/>
      <c r="D164" s="4"/>
      <c r="E164" s="4"/>
      <c r="F164" s="4"/>
    </row>
    <row r="165" spans="1:6" hidden="1" outlineLevel="1" x14ac:dyDescent="0.35">
      <c r="A165" s="2" t="s">
        <v>56</v>
      </c>
      <c r="C165" s="3">
        <v>0</v>
      </c>
      <c r="D165" s="3">
        <f>D137</f>
        <v>0</v>
      </c>
      <c r="E165" s="3">
        <f>D165</f>
        <v>0</v>
      </c>
      <c r="F165" s="3"/>
    </row>
    <row r="166" spans="1:6" hidden="1" outlineLevel="1" x14ac:dyDescent="0.35">
      <c r="A166" s="2" t="s">
        <v>54</v>
      </c>
      <c r="C166" s="3">
        <v>0</v>
      </c>
      <c r="D166" s="4">
        <f>D192</f>
        <v>1.3905833333333334E-2</v>
      </c>
      <c r="E166" s="4">
        <f>D166</f>
        <v>1.3905833333333334E-2</v>
      </c>
      <c r="F166" s="4"/>
    </row>
    <row r="167" spans="1:6" hidden="1" outlineLevel="1" x14ac:dyDescent="0.35">
      <c r="A167" s="2" t="s">
        <v>17</v>
      </c>
      <c r="C167" s="7">
        <v>0</v>
      </c>
      <c r="D167" s="6">
        <v>1.4999999999999999E-2</v>
      </c>
      <c r="E167" s="6">
        <v>1.4999999999999999E-2</v>
      </c>
      <c r="F167" s="5"/>
    </row>
    <row r="168" spans="1:6" hidden="1" outlineLevel="1" x14ac:dyDescent="0.35">
      <c r="A168" s="2" t="s">
        <v>53</v>
      </c>
      <c r="C168" s="3">
        <v>0</v>
      </c>
      <c r="D168" s="4">
        <f>D167+D166</f>
        <v>2.8905833333333332E-2</v>
      </c>
      <c r="E168" s="4">
        <f>E167+E166</f>
        <v>2.8905833333333332E-2</v>
      </c>
      <c r="F168" s="4"/>
    </row>
    <row r="169" spans="1:6" hidden="1" outlineLevel="1" x14ac:dyDescent="0.35">
      <c r="C169" s="32"/>
      <c r="D169" s="3"/>
      <c r="E169" s="3"/>
      <c r="F169" s="3"/>
    </row>
    <row r="170" spans="1:6" hidden="1" outlineLevel="1" x14ac:dyDescent="0.35">
      <c r="A170" s="2" t="s">
        <v>55</v>
      </c>
      <c r="C170" s="3">
        <v>0</v>
      </c>
      <c r="D170" s="3">
        <v>0</v>
      </c>
      <c r="E170" s="3">
        <f>E137</f>
        <v>0</v>
      </c>
      <c r="F170" s="3"/>
    </row>
    <row r="171" spans="1:6" hidden="1" outlineLevel="1" x14ac:dyDescent="0.35">
      <c r="A171" s="2" t="s">
        <v>54</v>
      </c>
      <c r="C171" s="3">
        <v>0</v>
      </c>
      <c r="D171" s="3">
        <v>0</v>
      </c>
      <c r="E171" s="4">
        <f>E192</f>
        <v>8.0900000000000069E-3</v>
      </c>
      <c r="F171" s="4"/>
    </row>
    <row r="172" spans="1:6" hidden="1" outlineLevel="1" x14ac:dyDescent="0.35">
      <c r="A172" s="2" t="s">
        <v>17</v>
      </c>
      <c r="C172" s="7">
        <v>0</v>
      </c>
      <c r="D172" s="7">
        <v>0</v>
      </c>
      <c r="E172" s="6">
        <v>1.7500000000000002E-2</v>
      </c>
      <c r="F172" s="5"/>
    </row>
    <row r="173" spans="1:6" hidden="1" outlineLevel="1" x14ac:dyDescent="0.35">
      <c r="A173" s="2" t="s">
        <v>53</v>
      </c>
      <c r="C173" s="3">
        <v>0</v>
      </c>
      <c r="D173" s="3">
        <v>0</v>
      </c>
      <c r="E173" s="4">
        <f>E172+E171</f>
        <v>2.5590000000000009E-2</v>
      </c>
      <c r="F173" s="4"/>
    </row>
    <row r="174" spans="1:6" hidden="1" outlineLevel="1" x14ac:dyDescent="0.35">
      <c r="C174" s="32"/>
      <c r="D174" s="32"/>
      <c r="E174" s="4"/>
      <c r="F174" s="4"/>
    </row>
    <row r="175" spans="1:6" hidden="1" outlineLevel="1" x14ac:dyDescent="0.35">
      <c r="A175" s="2" t="s">
        <v>52</v>
      </c>
      <c r="C175" s="3">
        <f>SUM(C150,C155,C160,C165,C170)</f>
        <v>794206</v>
      </c>
      <c r="D175" s="3">
        <f>SUM(D150,D155,D160,D165,D170)</f>
        <v>794206</v>
      </c>
      <c r="E175" s="3">
        <f>SUM(E150,E155,E160,E165,E170)</f>
        <v>794206</v>
      </c>
      <c r="F175" s="3"/>
    </row>
    <row r="176" spans="1:6" hidden="1" outlineLevel="1" x14ac:dyDescent="0.35">
      <c r="A176" s="2" t="s">
        <v>51</v>
      </c>
      <c r="C176" s="32"/>
      <c r="D176" s="4">
        <f>(D150*D153+D155*D158+D160*D163+D165*D168+D170*D173)/D175</f>
        <v>4.399967109184099E-2</v>
      </c>
      <c r="E176" s="4">
        <f>(E150*E153+E155*E158+E160*E163+E165*E168+E170*E173)/E175</f>
        <v>4.2963337257588087E-2</v>
      </c>
      <c r="F176" s="4"/>
    </row>
    <row r="177" spans="1:11" hidden="1" outlineLevel="1" x14ac:dyDescent="0.35">
      <c r="A177" s="1"/>
    </row>
    <row r="178" spans="1:11" hidden="1" outlineLevel="1" x14ac:dyDescent="0.35">
      <c r="A178" s="31" t="s">
        <v>50</v>
      </c>
      <c r="B178" s="30"/>
      <c r="C178" s="11" t="s">
        <v>7</v>
      </c>
      <c r="D178" s="11" t="s">
        <v>6</v>
      </c>
      <c r="E178" s="11" t="s">
        <v>5</v>
      </c>
      <c r="F178" s="22"/>
    </row>
    <row r="179" spans="1:11" hidden="1" outlineLevel="1" x14ac:dyDescent="0.35">
      <c r="A179" s="29" t="s">
        <v>49</v>
      </c>
      <c r="B179" s="23"/>
      <c r="C179" s="22"/>
      <c r="D179" s="22"/>
      <c r="K179"/>
    </row>
    <row r="180" spans="1:11" hidden="1" outlineLevel="1" x14ac:dyDescent="0.35">
      <c r="A180" s="24" t="s">
        <v>48</v>
      </c>
      <c r="B180" s="23"/>
      <c r="C180" s="22"/>
      <c r="D180" s="27">
        <v>1.017E-2</v>
      </c>
      <c r="E180" s="27">
        <v>1.222E-2</v>
      </c>
      <c r="F180" s="27"/>
      <c r="K180"/>
    </row>
    <row r="181" spans="1:11" hidden="1" outlineLevel="1" x14ac:dyDescent="0.35">
      <c r="A181" s="24" t="s">
        <v>47</v>
      </c>
      <c r="B181" s="23"/>
      <c r="C181" s="22"/>
      <c r="D181" s="27">
        <v>1.0869999999999999E-2</v>
      </c>
      <c r="E181" s="27">
        <v>1.048E-2</v>
      </c>
      <c r="F181" s="27"/>
      <c r="K181"/>
    </row>
    <row r="182" spans="1:11" hidden="1" outlineLevel="1" x14ac:dyDescent="0.35">
      <c r="A182" s="24" t="s">
        <v>46</v>
      </c>
      <c r="B182" s="23"/>
      <c r="C182" s="22"/>
      <c r="D182" s="27">
        <v>1.176E-2</v>
      </c>
      <c r="E182" s="27">
        <f>(100-99.14)%</f>
        <v>8.5999999999999948E-3</v>
      </c>
      <c r="F182" s="27"/>
      <c r="K182"/>
    </row>
    <row r="183" spans="1:11" hidden="1" outlineLevel="1" x14ac:dyDescent="0.35">
      <c r="A183" s="24" t="s">
        <v>45</v>
      </c>
      <c r="B183" s="23"/>
      <c r="C183" s="22"/>
      <c r="D183" s="27">
        <v>1.321E-2</v>
      </c>
      <c r="E183" s="27">
        <f>(100-99.21)%</f>
        <v>7.9000000000000632E-3</v>
      </c>
      <c r="F183" s="27"/>
      <c r="K183"/>
    </row>
    <row r="184" spans="1:11" hidden="1" outlineLevel="1" x14ac:dyDescent="0.35">
      <c r="A184" s="24" t="s">
        <v>44</v>
      </c>
      <c r="B184" s="23"/>
      <c r="C184" s="22"/>
      <c r="D184" s="27">
        <v>1.4250000000000001E-2</v>
      </c>
      <c r="E184" s="27">
        <f>(100-99.26)%</f>
        <v>7.3999999999999492E-3</v>
      </c>
      <c r="F184" s="27"/>
      <c r="K184"/>
    </row>
    <row r="185" spans="1:11" hidden="1" outlineLevel="1" x14ac:dyDescent="0.35">
      <c r="A185" s="24" t="s">
        <v>43</v>
      </c>
      <c r="B185" s="23"/>
      <c r="C185" s="22"/>
      <c r="D185" s="27">
        <v>1.489E-2</v>
      </c>
      <c r="E185" s="27">
        <f>(100-99.3)%</f>
        <v>7.0000000000000288E-3</v>
      </c>
      <c r="F185" s="27"/>
      <c r="K185"/>
    </row>
    <row r="186" spans="1:11" hidden="1" outlineLevel="1" x14ac:dyDescent="0.35">
      <c r="A186" s="24" t="s">
        <v>42</v>
      </c>
      <c r="B186" s="23"/>
      <c r="C186" s="22"/>
      <c r="D186" s="27">
        <v>1.5980000000000001E-2</v>
      </c>
      <c r="E186" s="27">
        <f>(100-99.32)%</f>
        <v>6.8000000000000681E-3</v>
      </c>
      <c r="F186" s="27"/>
      <c r="K186"/>
    </row>
    <row r="187" spans="1:11" hidden="1" outlineLevel="1" x14ac:dyDescent="0.35">
      <c r="A187" s="24" t="s">
        <v>41</v>
      </c>
      <c r="B187" s="23"/>
      <c r="C187" s="22"/>
      <c r="D187" s="27">
        <v>1.5520000000000001E-2</v>
      </c>
      <c r="E187" s="27">
        <f>(100-99.34)%</f>
        <v>6.5999999999999661E-3</v>
      </c>
      <c r="F187" s="27"/>
      <c r="K187"/>
    </row>
    <row r="188" spans="1:11" hidden="1" outlineLevel="1" x14ac:dyDescent="0.35">
      <c r="A188" s="24" t="s">
        <v>40</v>
      </c>
      <c r="B188" s="23"/>
      <c r="C188" s="22"/>
      <c r="D188" s="27">
        <v>1.536E-2</v>
      </c>
      <c r="E188" s="27">
        <f>(100-99.32)%</f>
        <v>6.8000000000000681E-3</v>
      </c>
      <c r="F188" s="27"/>
      <c r="K188"/>
    </row>
    <row r="189" spans="1:11" hidden="1" outlineLevel="1" x14ac:dyDescent="0.35">
      <c r="A189" s="24" t="s">
        <v>39</v>
      </c>
      <c r="B189" s="23"/>
      <c r="C189" s="22"/>
      <c r="D189" s="27">
        <v>1.576E-2</v>
      </c>
      <c r="E189" s="27" t="s">
        <v>37</v>
      </c>
      <c r="F189" s="27"/>
      <c r="K189"/>
    </row>
    <row r="190" spans="1:11" hidden="1" outlineLevel="1" x14ac:dyDescent="0.35">
      <c r="A190" s="24" t="s">
        <v>38</v>
      </c>
      <c r="B190" s="23"/>
      <c r="C190" s="22"/>
      <c r="D190" s="27">
        <v>1.485E-2</v>
      </c>
      <c r="E190" s="27" t="s">
        <v>37</v>
      </c>
      <c r="F190" s="27"/>
      <c r="K190"/>
    </row>
    <row r="191" spans="1:11" hidden="1" outlineLevel="1" x14ac:dyDescent="0.35">
      <c r="A191" s="24" t="s">
        <v>36</v>
      </c>
      <c r="B191" s="23"/>
      <c r="C191" s="22"/>
      <c r="D191" s="28">
        <v>1.4250000000000001E-2</v>
      </c>
      <c r="E191" s="28">
        <f>(100-99.29)%</f>
        <v>7.0999999999999371E-3</v>
      </c>
      <c r="F191" s="27"/>
      <c r="K191"/>
    </row>
    <row r="192" spans="1:11" hidden="1" outlineLevel="1" x14ac:dyDescent="0.35">
      <c r="A192" s="24" t="s">
        <v>35</v>
      </c>
      <c r="B192" s="23"/>
      <c r="C192" s="22"/>
      <c r="D192" s="26">
        <f>AVERAGE(D180:D191)</f>
        <v>1.3905833333333334E-2</v>
      </c>
      <c r="E192" s="26">
        <f>AVERAGE(E180:E191)</f>
        <v>8.0900000000000069E-3</v>
      </c>
      <c r="F192" s="26"/>
      <c r="K192"/>
    </row>
    <row r="193" spans="1:13" hidden="1" outlineLevel="1" x14ac:dyDescent="0.35">
      <c r="A193" s="24"/>
      <c r="B193" s="23"/>
      <c r="C193" s="22"/>
      <c r="D193" s="22"/>
      <c r="E193" s="22"/>
      <c r="F193" s="22"/>
      <c r="K193"/>
    </row>
    <row r="194" spans="1:13" hidden="1" outlineLevel="1" x14ac:dyDescent="0.35">
      <c r="A194" s="2" t="s">
        <v>34</v>
      </c>
      <c r="C194" s="10">
        <v>570566</v>
      </c>
      <c r="D194" s="3">
        <f>MAX(C194+D138,0)</f>
        <v>570566</v>
      </c>
      <c r="E194" s="3">
        <f>MAX(D194+E138,0)</f>
        <v>570566</v>
      </c>
      <c r="F194" s="3"/>
      <c r="K194"/>
    </row>
    <row r="195" spans="1:13" hidden="1" outlineLevel="1" x14ac:dyDescent="0.35">
      <c r="A195" s="2" t="s">
        <v>33</v>
      </c>
      <c r="C195" s="8">
        <v>223640</v>
      </c>
      <c r="D195" s="7">
        <f>MAX(C195+D138-(D194-C194),0)</f>
        <v>223640</v>
      </c>
      <c r="E195" s="7">
        <f>MAX(D195+E138-(E194-D194),0)</f>
        <v>223640</v>
      </c>
      <c r="F195" s="25"/>
      <c r="K195"/>
    </row>
    <row r="196" spans="1:13" hidden="1" outlineLevel="1" x14ac:dyDescent="0.35">
      <c r="A196" s="2" t="s">
        <v>32</v>
      </c>
      <c r="C196" s="3">
        <f>C194+C195</f>
        <v>794206</v>
      </c>
      <c r="D196" s="3">
        <f>D195+D194</f>
        <v>794206</v>
      </c>
      <c r="E196" s="3">
        <f>E195+E194</f>
        <v>794206</v>
      </c>
      <c r="F196" s="3"/>
      <c r="K196"/>
    </row>
    <row r="197" spans="1:13" hidden="1" outlineLevel="1" x14ac:dyDescent="0.35">
      <c r="A197" s="24"/>
      <c r="B197" s="23"/>
      <c r="C197" s="22"/>
      <c r="D197" s="22"/>
      <c r="E197" s="22"/>
      <c r="F197" s="22"/>
      <c r="K197"/>
    </row>
    <row r="198" spans="1:13" hidden="1" outlineLevel="1" x14ac:dyDescent="0.35">
      <c r="A198" s="2" t="s">
        <v>31</v>
      </c>
      <c r="C198" s="3">
        <f>C194</f>
        <v>570566</v>
      </c>
      <c r="D198" s="3">
        <f>D194</f>
        <v>570566</v>
      </c>
      <c r="E198" s="3">
        <f>E194</f>
        <v>570566</v>
      </c>
      <c r="F198" s="3"/>
      <c r="K198"/>
    </row>
    <row r="199" spans="1:13" hidden="1" outlineLevel="1" x14ac:dyDescent="0.35">
      <c r="A199" s="2" t="s">
        <v>30</v>
      </c>
      <c r="C199" s="3">
        <f>C194/C200</f>
        <v>994017.42160278757</v>
      </c>
      <c r="D199" s="3">
        <f>D67+C199</f>
        <v>1044017.4216027876</v>
      </c>
      <c r="E199" s="3">
        <f>E67+D199</f>
        <v>1094017.4216027874</v>
      </c>
      <c r="F199" s="3"/>
      <c r="K199"/>
    </row>
    <row r="200" spans="1:13" hidden="1" outlineLevel="1" x14ac:dyDescent="0.35">
      <c r="A200" s="2" t="s">
        <v>29</v>
      </c>
      <c r="C200" s="18">
        <v>0.57399999999999995</v>
      </c>
      <c r="D200" s="21">
        <f>D198/D199</f>
        <v>0.54651003727893788</v>
      </c>
      <c r="E200" s="20">
        <f>E198/E199</f>
        <v>0.52153282821044455</v>
      </c>
      <c r="F200" s="20"/>
      <c r="K200"/>
    </row>
    <row r="201" spans="1:13" hidden="1" outlineLevel="1" x14ac:dyDescent="0.35">
      <c r="C201" s="18"/>
      <c r="D201" s="20"/>
      <c r="E201" s="20"/>
      <c r="F201" s="20"/>
      <c r="G201" s="19" t="s">
        <v>28</v>
      </c>
      <c r="H201" s="19" t="s">
        <v>27</v>
      </c>
      <c r="I201" s="19" t="s">
        <v>26</v>
      </c>
      <c r="K201"/>
    </row>
    <row r="202" spans="1:13" hidden="1" outlineLevel="1" x14ac:dyDescent="0.35">
      <c r="A202" s="2" t="s">
        <v>25</v>
      </c>
      <c r="C202" s="4">
        <f>IF(AND($C$200&gt;=$G202,$C$200&lt;$H202),$I202,0)</f>
        <v>0</v>
      </c>
      <c r="D202" s="4">
        <f>IF(AND($D$200&gt;=$G202,$D$200&lt;$H202),$I202,0)</f>
        <v>0</v>
      </c>
      <c r="E202" s="4">
        <f>IF(AND($E$200&gt;=$G202,$E$200&lt;$H202),$I202,0)</f>
        <v>0</v>
      </c>
      <c r="F202" s="4"/>
      <c r="G202" s="18">
        <v>0.65</v>
      </c>
      <c r="H202" s="18">
        <v>0.7</v>
      </c>
      <c r="I202" s="17">
        <v>0.02</v>
      </c>
      <c r="K202"/>
      <c r="L202"/>
      <c r="M202"/>
    </row>
    <row r="203" spans="1:13" hidden="1" outlineLevel="1" x14ac:dyDescent="0.35">
      <c r="A203" s="2" t="s">
        <v>24</v>
      </c>
      <c r="C203" s="4">
        <f>IF(AND($C$200&gt;=$G203,$C$200&lt;$H203),$I203,0)</f>
        <v>0</v>
      </c>
      <c r="D203" s="4">
        <f>IF(AND($D$200&gt;=$G203,$D$200&lt;$H203),$I203,0)</f>
        <v>0</v>
      </c>
      <c r="E203" s="4">
        <f>IF(AND($E$200&gt;=$G203,$E$200&lt;$H203),$I203,0)</f>
        <v>0</v>
      </c>
      <c r="F203" s="4"/>
      <c r="G203" s="18">
        <v>0.61</v>
      </c>
      <c r="H203" s="18">
        <v>0.65</v>
      </c>
      <c r="I203" s="17">
        <v>1.7500000000000002E-2</v>
      </c>
      <c r="K203"/>
      <c r="L203"/>
      <c r="M203"/>
    </row>
    <row r="204" spans="1:13" hidden="1" outlineLevel="1" x14ac:dyDescent="0.35">
      <c r="A204" s="2" t="s">
        <v>23</v>
      </c>
      <c r="C204" s="4">
        <f>IF(AND($C$200&gt;=$G204,$C$200&lt;$H204),$I204,0)</f>
        <v>1.6E-2</v>
      </c>
      <c r="D204" s="4">
        <f>IF(AND($D$200&gt;=$G204,$D$200&lt;$H204),$I204,0)</f>
        <v>0</v>
      </c>
      <c r="E204" s="4">
        <f>IF(AND($E$200&gt;=$G204,$E$200&lt;$H204),$I204,0)</f>
        <v>0</v>
      </c>
      <c r="F204" s="4"/>
      <c r="G204" s="18">
        <v>0.56000000000000005</v>
      </c>
      <c r="H204" s="18">
        <v>0.61</v>
      </c>
      <c r="I204" s="17">
        <v>1.6E-2</v>
      </c>
      <c r="K204"/>
      <c r="L204"/>
      <c r="M204"/>
    </row>
    <row r="205" spans="1:13" hidden="1" outlineLevel="1" x14ac:dyDescent="0.35">
      <c r="A205" s="2" t="s">
        <v>22</v>
      </c>
      <c r="C205" s="4">
        <f>IF(AND($C$200&gt;=$G205,$C$200&lt;$H205),$I205,0)</f>
        <v>0</v>
      </c>
      <c r="D205" s="4">
        <f>IF(AND($D$200&gt;=$G205,$D$200&lt;$H205),$I205,0)</f>
        <v>1.4999999999999999E-2</v>
      </c>
      <c r="E205" s="4">
        <f>IF(AND($E$200&gt;=$G205,$E$200&lt;$H205),$I205,0)</f>
        <v>1.4999999999999999E-2</v>
      </c>
      <c r="F205" s="4"/>
      <c r="G205" s="18">
        <v>0.51</v>
      </c>
      <c r="H205" s="18">
        <v>0.56000000000000005</v>
      </c>
      <c r="I205" s="17">
        <v>1.4999999999999999E-2</v>
      </c>
      <c r="K205"/>
      <c r="L205"/>
      <c r="M205"/>
    </row>
    <row r="206" spans="1:13" hidden="1" outlineLevel="1" x14ac:dyDescent="0.35">
      <c r="A206" s="2" t="s">
        <v>21</v>
      </c>
      <c r="C206" s="16">
        <f>IF($C$200&lt;$H206,$I206,0)</f>
        <v>0</v>
      </c>
      <c r="D206" s="16">
        <f>IF($D$200&lt;$H206,$I206,0)</f>
        <v>0</v>
      </c>
      <c r="E206" s="16">
        <f>IF($E$200&lt;$H206,$I206,0)</f>
        <v>0</v>
      </c>
      <c r="F206" s="15"/>
      <c r="G206" s="18">
        <v>0</v>
      </c>
      <c r="H206" s="18">
        <v>0.51</v>
      </c>
      <c r="I206" s="17">
        <v>1.35E-2</v>
      </c>
      <c r="K206"/>
      <c r="L206"/>
      <c r="M206"/>
    </row>
    <row r="207" spans="1:13" hidden="1" outlineLevel="1" x14ac:dyDescent="0.35">
      <c r="A207" s="2" t="s">
        <v>20</v>
      </c>
      <c r="C207" s="4">
        <f>SUM(C202:C206)</f>
        <v>1.6E-2</v>
      </c>
      <c r="D207" s="4">
        <f>SUM(D202:D206)</f>
        <v>1.4999999999999999E-2</v>
      </c>
      <c r="E207" s="4">
        <f>SUM(E202:E206)</f>
        <v>1.4999999999999999E-2</v>
      </c>
      <c r="F207" s="4"/>
      <c r="L207"/>
      <c r="M207"/>
    </row>
    <row r="208" spans="1:13" hidden="1" outlineLevel="1" x14ac:dyDescent="0.35"/>
    <row r="209" spans="1:7" hidden="1" outlineLevel="1" x14ac:dyDescent="0.35">
      <c r="A209" s="2" t="s">
        <v>19</v>
      </c>
      <c r="C209" s="14">
        <f>C207</f>
        <v>1.6E-2</v>
      </c>
      <c r="D209" s="14">
        <f>D207</f>
        <v>1.4999999999999999E-2</v>
      </c>
      <c r="E209" s="14">
        <f>E207</f>
        <v>1.4999999999999999E-2</v>
      </c>
      <c r="F209" s="14"/>
    </row>
    <row r="210" spans="1:7" hidden="1" outlineLevel="1" x14ac:dyDescent="0.35">
      <c r="A210" s="2" t="s">
        <v>18</v>
      </c>
      <c r="C210" s="6">
        <v>1.4E-2</v>
      </c>
      <c r="D210" s="16">
        <f>C210</f>
        <v>1.4E-2</v>
      </c>
      <c r="E210" s="16">
        <f>D210</f>
        <v>1.4E-2</v>
      </c>
      <c r="F210" s="15"/>
    </row>
    <row r="211" spans="1:7" hidden="1" outlineLevel="1" x14ac:dyDescent="0.35">
      <c r="A211" s="2" t="s">
        <v>17</v>
      </c>
      <c r="C211" s="14">
        <f>(C194*C209+C195*C210)/C196</f>
        <v>1.5436821177377153E-2</v>
      </c>
      <c r="D211" s="14">
        <f>(D194*D209+D195*D210)/D196</f>
        <v>1.4718410588688578E-2</v>
      </c>
      <c r="E211" s="14">
        <f>(E194*E209+E195*E210)/E196</f>
        <v>1.4718410588688578E-2</v>
      </c>
      <c r="F211" s="14"/>
    </row>
    <row r="212" spans="1:7" hidden="1" outlineLevel="1" x14ac:dyDescent="0.35"/>
    <row r="213" spans="1:7" hidden="1" outlineLevel="1" x14ac:dyDescent="0.35">
      <c r="A213" s="13" t="s">
        <v>16</v>
      </c>
      <c r="B213" s="12"/>
      <c r="C213" s="11" t="s">
        <v>7</v>
      </c>
      <c r="D213" s="11" t="s">
        <v>6</v>
      </c>
      <c r="E213" s="11" t="s">
        <v>5</v>
      </c>
      <c r="F213" s="11"/>
      <c r="G213" s="11" t="s">
        <v>15</v>
      </c>
    </row>
    <row r="214" spans="1:7" hidden="1" outlineLevel="1" x14ac:dyDescent="0.35">
      <c r="A214" s="2" t="s">
        <v>14</v>
      </c>
      <c r="C214" s="10">
        <v>47902</v>
      </c>
      <c r="D214" s="3">
        <f t="shared" ref="D214:E217" si="1">C214</f>
        <v>47902</v>
      </c>
      <c r="E214" s="3">
        <f t="shared" si="1"/>
        <v>47902</v>
      </c>
      <c r="F214" s="3"/>
      <c r="G214" s="9">
        <v>4.1160000000000002E-2</v>
      </c>
    </row>
    <row r="215" spans="1:7" hidden="1" outlineLevel="1" x14ac:dyDescent="0.35">
      <c r="A215" s="2" t="s">
        <v>13</v>
      </c>
      <c r="C215" s="10">
        <v>37283</v>
      </c>
      <c r="D215" s="3">
        <f t="shared" si="1"/>
        <v>37283</v>
      </c>
      <c r="E215" s="3">
        <f t="shared" si="1"/>
        <v>37283</v>
      </c>
      <c r="F215" s="3"/>
      <c r="G215" s="9">
        <v>2.1940000000000001E-2</v>
      </c>
    </row>
    <row r="216" spans="1:7" hidden="1" outlineLevel="1" x14ac:dyDescent="0.35">
      <c r="A216" s="2" t="s">
        <v>12</v>
      </c>
      <c r="C216" s="10">
        <v>95000</v>
      </c>
      <c r="D216" s="3">
        <f t="shared" si="1"/>
        <v>95000</v>
      </c>
      <c r="E216" s="3">
        <f t="shared" si="1"/>
        <v>95000</v>
      </c>
      <c r="F216" s="3"/>
      <c r="G216" s="9">
        <v>4.5999999999999999E-2</v>
      </c>
    </row>
    <row r="217" spans="1:7" hidden="1" outlineLevel="1" x14ac:dyDescent="0.35">
      <c r="A217" s="2" t="s">
        <v>11</v>
      </c>
      <c r="C217" s="8">
        <v>472500</v>
      </c>
      <c r="D217" s="7">
        <f t="shared" si="1"/>
        <v>472500</v>
      </c>
      <c r="E217" s="7">
        <f t="shared" si="1"/>
        <v>472500</v>
      </c>
      <c r="F217" s="7"/>
      <c r="G217" s="6">
        <v>2.9899999999999999E-2</v>
      </c>
    </row>
    <row r="218" spans="1:7" hidden="1" outlineLevel="1" x14ac:dyDescent="0.35">
      <c r="A218" s="2" t="s">
        <v>10</v>
      </c>
      <c r="C218" s="3">
        <f>SUM(C214:C217)</f>
        <v>652685</v>
      </c>
      <c r="D218" s="3">
        <f>SUM(D214:D217)</f>
        <v>652685</v>
      </c>
      <c r="E218" s="3">
        <f>SUM(E214:E217)</f>
        <v>652685</v>
      </c>
      <c r="F218" s="3"/>
      <c r="G218" s="5"/>
    </row>
    <row r="219" spans="1:7" hidden="1" outlineLevel="1" x14ac:dyDescent="0.35">
      <c r="A219" s="2" t="s">
        <v>9</v>
      </c>
      <c r="C219" s="4">
        <f>SUMPRODUCT(C214:C217,$G$214:$G$217)/C218</f>
        <v>3.2615098156078354E-2</v>
      </c>
      <c r="D219" s="4">
        <f>SUMPRODUCT(D214:D217,$G$214:$G$217)/D218</f>
        <v>3.2615098156078354E-2</v>
      </c>
      <c r="E219" s="4">
        <f>SUMPRODUCT(E214:E217,$G$214:$G$217)/E218</f>
        <v>3.2615098156078354E-2</v>
      </c>
      <c r="F219" s="4"/>
    </row>
    <row r="220" spans="1:7" hidden="1" outlineLevel="1" x14ac:dyDescent="0.35">
      <c r="C220" s="4"/>
      <c r="D220" s="4"/>
      <c r="E220" s="4"/>
      <c r="F220" s="4"/>
    </row>
    <row r="221" spans="1:7" hidden="1" outlineLevel="1" x14ac:dyDescent="0.35">
      <c r="A221" s="13" t="s">
        <v>8</v>
      </c>
      <c r="B221" s="12"/>
      <c r="C221" s="11" t="s">
        <v>7</v>
      </c>
      <c r="D221" s="11" t="s">
        <v>6</v>
      </c>
      <c r="E221" s="11" t="s">
        <v>5</v>
      </c>
      <c r="F221" s="11"/>
      <c r="G221" s="11" t="s">
        <v>4</v>
      </c>
    </row>
    <row r="222" spans="1:7" hidden="1" outlineLevel="1" x14ac:dyDescent="0.35">
      <c r="A222" s="2" t="s">
        <v>3</v>
      </c>
      <c r="C222" s="10">
        <v>75000</v>
      </c>
      <c r="D222" s="3">
        <f t="shared" ref="D222:E224" si="2">C222</f>
        <v>75000</v>
      </c>
      <c r="E222" s="3">
        <f t="shared" si="2"/>
        <v>75000</v>
      </c>
      <c r="F222" s="3"/>
      <c r="G222" s="9">
        <v>4.9000000000000002E-2</v>
      </c>
    </row>
    <row r="223" spans="1:7" hidden="1" outlineLevel="1" x14ac:dyDescent="0.35">
      <c r="A223" s="2" t="s">
        <v>2</v>
      </c>
      <c r="C223" s="10">
        <v>25139</v>
      </c>
      <c r="D223" s="3">
        <f t="shared" si="2"/>
        <v>25139</v>
      </c>
      <c r="E223" s="3">
        <f t="shared" si="2"/>
        <v>25139</v>
      </c>
      <c r="F223" s="3"/>
      <c r="G223" s="9">
        <v>3.3000000000000002E-2</v>
      </c>
    </row>
    <row r="224" spans="1:7" hidden="1" outlineLevel="1" x14ac:dyDescent="0.35">
      <c r="A224" s="2" t="s">
        <v>2</v>
      </c>
      <c r="C224" s="8">
        <v>8649</v>
      </c>
      <c r="D224" s="7">
        <f t="shared" si="2"/>
        <v>8649</v>
      </c>
      <c r="E224" s="7">
        <f t="shared" si="2"/>
        <v>8649</v>
      </c>
      <c r="F224" s="7"/>
      <c r="G224" s="6">
        <v>3.3000000000000002E-2</v>
      </c>
    </row>
    <row r="225" spans="1:7" hidden="1" outlineLevel="1" x14ac:dyDescent="0.35">
      <c r="A225" s="2" t="s">
        <v>1</v>
      </c>
      <c r="C225" s="3">
        <f>SUM(C222:C224)</f>
        <v>108788</v>
      </c>
      <c r="D225" s="3">
        <f>SUM(D222:D224)</f>
        <v>108788</v>
      </c>
      <c r="E225" s="3">
        <f>SUM(E222:E224)</f>
        <v>108788</v>
      </c>
      <c r="F225" s="3"/>
      <c r="G225" s="5"/>
    </row>
    <row r="226" spans="1:7" hidden="1" outlineLevel="1" x14ac:dyDescent="0.35">
      <c r="A226" s="2" t="s">
        <v>0</v>
      </c>
      <c r="C226" s="4">
        <f>SUMPRODUCT(C222:C224,$G$222:$G$224)/C225</f>
        <v>4.4030628378129939E-2</v>
      </c>
      <c r="D226" s="4">
        <f>SUMPRODUCT(D222:D224,$G$222:$G$224)/D225</f>
        <v>4.4030628378129939E-2</v>
      </c>
      <c r="E226" s="4">
        <f>SUMPRODUCT(E222:E224,$G$222:$G$224)/E225</f>
        <v>4.4030628378129939E-2</v>
      </c>
      <c r="F226" s="4"/>
    </row>
    <row r="227" spans="1:7" collapsed="1" x14ac:dyDescent="0.35">
      <c r="A227" s="89" t="s">
        <v>179</v>
      </c>
      <c r="D227" s="3"/>
    </row>
    <row r="228" spans="1:7" x14ac:dyDescent="0.35">
      <c r="D228"/>
    </row>
  </sheetData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22DC2A15-0B1F-408E-968F-4ECDB82F1441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F14</xm:sqref>
        </x14:conditionalFormatting>
        <x14:conditionalFormatting xmlns:xm="http://schemas.microsoft.com/office/excel/2006/main">
          <x14:cfRule type="iconSet" priority="13" id="{620C6826-0D34-4C9C-81F0-AB129124A35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F16</xm:sqref>
        </x14:conditionalFormatting>
        <x14:conditionalFormatting xmlns:xm="http://schemas.microsoft.com/office/excel/2006/main">
          <x14:cfRule type="iconSet" priority="12" id="{7C528957-55FB-4F13-A478-1C286CF8F3FC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F34</xm:sqref>
        </x14:conditionalFormatting>
        <x14:conditionalFormatting xmlns:xm="http://schemas.microsoft.com/office/excel/2006/main">
          <x14:cfRule type="iconSet" priority="11" id="{C858476C-D3EE-43E6-A61C-3202984F2DE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F37</xm:sqref>
        </x14:conditionalFormatting>
        <x14:conditionalFormatting xmlns:xm="http://schemas.microsoft.com/office/excel/2006/main">
          <x14:cfRule type="iconSet" priority="10" id="{192C4966-6A79-4933-88CA-B9B2051115B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F42</xm:sqref>
        </x14:conditionalFormatting>
        <x14:conditionalFormatting xmlns:xm="http://schemas.microsoft.com/office/excel/2006/main">
          <x14:cfRule type="iconSet" priority="9" id="{47C4AB53-8577-46EB-A787-950FEF0B0234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F44</xm:sqref>
        </x14:conditionalFormatting>
        <x14:conditionalFormatting xmlns:xm="http://schemas.microsoft.com/office/excel/2006/main">
          <x14:cfRule type="iconSet" priority="2" id="{32DA9A02-FC5E-408A-8002-5D94D23CDC2F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F148</xm:sqref>
        </x14:conditionalFormatting>
        <x14:conditionalFormatting xmlns:xm="http://schemas.microsoft.com/office/excel/2006/main">
          <x14:cfRule type="iconSet" priority="1" id="{031DEB2B-4C6C-4E8B-92D4-4DEE5CBB509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F128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Model - Complete</vt:lpstr>
      <vt:lpstr>Full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User</cp:lastModifiedBy>
  <dcterms:created xsi:type="dcterms:W3CDTF">2012-03-16T18:38:22Z</dcterms:created>
  <dcterms:modified xsi:type="dcterms:W3CDTF">2014-02-28T10:10:42Z</dcterms:modified>
</cp:coreProperties>
</file>