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9420" windowHeight="11020"/>
  </bookViews>
  <sheets>
    <sheet name="FFO w Placeholders" sheetId="3" r:id="rId1"/>
    <sheet name="FFO w Placeholders - Complete" sheetId="2" state="hidden" r:id="rId2"/>
  </sheets>
  <calcPr calcId="145621" iterate="1"/>
</workbook>
</file>

<file path=xl/calcChain.xml><?xml version="1.0" encoding="utf-8"?>
<calcChain xmlns="http://schemas.openxmlformats.org/spreadsheetml/2006/main">
  <c r="F24" i="3" l="1"/>
  <c r="F75" i="3" l="1"/>
  <c r="F18" i="3"/>
  <c r="F13" i="3"/>
  <c r="E72" i="3"/>
  <c r="E10" i="3"/>
  <c r="D10" i="3"/>
  <c r="D74" i="3" l="1"/>
  <c r="D80" i="3"/>
  <c r="E80" i="3" s="1"/>
  <c r="D79" i="3"/>
  <c r="E79" i="3" s="1"/>
  <c r="E74" i="3"/>
  <c r="C60" i="3"/>
  <c r="B60" i="3"/>
  <c r="E56" i="3"/>
  <c r="E59" i="3" s="1"/>
  <c r="D56" i="3"/>
  <c r="E58" i="3" s="1"/>
  <c r="C52" i="3"/>
  <c r="B52" i="3"/>
  <c r="E48" i="3"/>
  <c r="E51" i="3" s="1"/>
  <c r="D48" i="3"/>
  <c r="D50" i="3" s="1"/>
  <c r="D52" i="3" s="1"/>
  <c r="C38" i="3"/>
  <c r="C37" i="3"/>
  <c r="C36" i="3"/>
  <c r="C35" i="3"/>
  <c r="C39" i="3" s="1"/>
  <c r="C41" i="3" s="1"/>
  <c r="C31" i="3"/>
  <c r="C30" i="3"/>
  <c r="C27" i="3"/>
  <c r="E23" i="3"/>
  <c r="D23" i="3"/>
  <c r="C20" i="3"/>
  <c r="B20" i="3"/>
  <c r="B18" i="3"/>
  <c r="C16" i="3"/>
  <c r="C14" i="3"/>
  <c r="C21" i="3" s="1"/>
  <c r="B14" i="3"/>
  <c r="B21" i="3" s="1"/>
  <c r="C11" i="3"/>
  <c r="B11" i="3"/>
  <c r="C10" i="3"/>
  <c r="B10" i="3"/>
  <c r="C7" i="3"/>
  <c r="B7" i="3"/>
  <c r="C6" i="3"/>
  <c r="C8" i="3" s="1"/>
  <c r="B6" i="3"/>
  <c r="C4" i="3"/>
  <c r="D80" i="2"/>
  <c r="E80" i="2" s="1"/>
  <c r="D79" i="2"/>
  <c r="E79" i="2" s="1"/>
  <c r="E75" i="2" s="1"/>
  <c r="D75" i="2"/>
  <c r="D77" i="2" s="1"/>
  <c r="E72" i="2"/>
  <c r="E74" i="2" s="1"/>
  <c r="C60" i="2"/>
  <c r="B60" i="2"/>
  <c r="E56" i="2"/>
  <c r="E59" i="2" s="1"/>
  <c r="D56" i="2"/>
  <c r="E58" i="2" s="1"/>
  <c r="C52" i="2"/>
  <c r="B52" i="2"/>
  <c r="E48" i="2"/>
  <c r="E51" i="2" s="1"/>
  <c r="D48" i="2"/>
  <c r="D50" i="2" s="1"/>
  <c r="D52" i="2" s="1"/>
  <c r="C38" i="2"/>
  <c r="C37" i="2"/>
  <c r="C36" i="2"/>
  <c r="C35" i="2"/>
  <c r="C39" i="2" s="1"/>
  <c r="C41" i="2" s="1"/>
  <c r="C31" i="2"/>
  <c r="C30" i="2"/>
  <c r="C27" i="2"/>
  <c r="D23" i="2"/>
  <c r="E23" i="2" s="1"/>
  <c r="E21" i="2"/>
  <c r="D21" i="2"/>
  <c r="C20" i="2"/>
  <c r="B20" i="2"/>
  <c r="B18" i="2"/>
  <c r="C16" i="2"/>
  <c r="C14" i="2"/>
  <c r="B14" i="2"/>
  <c r="B21" i="2" s="1"/>
  <c r="C11" i="2"/>
  <c r="B11" i="2"/>
  <c r="C10" i="2"/>
  <c r="D10" i="2" s="1"/>
  <c r="E10" i="2" s="1"/>
  <c r="B10" i="2"/>
  <c r="C7" i="2"/>
  <c r="B7" i="2"/>
  <c r="C6" i="2"/>
  <c r="C8" i="2" s="1"/>
  <c r="B6" i="2"/>
  <c r="B8" i="2" s="1"/>
  <c r="C4" i="2"/>
  <c r="D3" i="2"/>
  <c r="C33" i="3" l="1"/>
  <c r="B8" i="3"/>
  <c r="D3" i="3"/>
  <c r="E50" i="3"/>
  <c r="E52" i="3" s="1"/>
  <c r="E60" i="3"/>
  <c r="E77" i="3"/>
  <c r="E20" i="3" s="1"/>
  <c r="F20" i="3" s="1"/>
  <c r="D77" i="3"/>
  <c r="D20" i="3" s="1"/>
  <c r="B12" i="3"/>
  <c r="B9" i="3"/>
  <c r="C12" i="3"/>
  <c r="C9" i="3"/>
  <c r="D58" i="3"/>
  <c r="D60" i="3" s="1"/>
  <c r="D62" i="3" s="1"/>
  <c r="E60" i="2"/>
  <c r="E77" i="2"/>
  <c r="E20" i="2" s="1"/>
  <c r="B12" i="2"/>
  <c r="B9" i="2"/>
  <c r="C12" i="2"/>
  <c r="C9" i="2"/>
  <c r="D9" i="2" s="1"/>
  <c r="D20" i="2"/>
  <c r="C21" i="2"/>
  <c r="C33" i="2"/>
  <c r="E50" i="2"/>
  <c r="E52" i="2" s="1"/>
  <c r="D58" i="2"/>
  <c r="D60" i="2" s="1"/>
  <c r="D62" i="2" s="1"/>
  <c r="D5" i="2" s="1"/>
  <c r="D6" i="2" s="1"/>
  <c r="E62" i="3" l="1"/>
  <c r="E5" i="3" s="1"/>
  <c r="D7" i="2"/>
  <c r="D8" i="2" s="1"/>
  <c r="D12" i="2" s="1"/>
  <c r="D5" i="3"/>
  <c r="D6" i="3" s="1"/>
  <c r="C15" i="3"/>
  <c r="C17" i="3" s="1"/>
  <c r="C13" i="3"/>
  <c r="B15" i="3"/>
  <c r="B17" i="3" s="1"/>
  <c r="B13" i="3"/>
  <c r="E62" i="2"/>
  <c r="E5" i="2" s="1"/>
  <c r="E3" i="2"/>
  <c r="E9" i="2"/>
  <c r="B15" i="2"/>
  <c r="B17" i="2" s="1"/>
  <c r="B13" i="2"/>
  <c r="C15" i="2"/>
  <c r="C17" i="2" s="1"/>
  <c r="C13" i="2"/>
  <c r="E3" i="3" l="1"/>
  <c r="E6" i="3" s="1"/>
  <c r="D15" i="3"/>
  <c r="D17" i="3" s="1"/>
  <c r="B22" i="3"/>
  <c r="B24" i="3" s="1"/>
  <c r="B19" i="3"/>
  <c r="C22" i="3"/>
  <c r="C24" i="3" s="1"/>
  <c r="C19" i="3"/>
  <c r="E6" i="2"/>
  <c r="D15" i="2"/>
  <c r="D17" i="2" s="1"/>
  <c r="D13" i="2"/>
  <c r="C22" i="2"/>
  <c r="C24" i="2" s="1"/>
  <c r="C19" i="2"/>
  <c r="B22" i="2"/>
  <c r="B24" i="2" s="1"/>
  <c r="B19" i="2"/>
  <c r="E7" i="2" l="1"/>
  <c r="E8" i="2" s="1"/>
  <c r="E12" i="2" s="1"/>
  <c r="E15" i="2" s="1"/>
  <c r="E17" i="2" s="1"/>
  <c r="D22" i="3"/>
  <c r="D18" i="2"/>
  <c r="D22" i="2" s="1"/>
  <c r="D24" i="2" s="1"/>
  <c r="F12" i="3" l="1"/>
  <c r="E13" i="2"/>
  <c r="E18" i="2"/>
  <c r="E22" i="2" s="1"/>
  <c r="E24" i="2" s="1"/>
  <c r="E15" i="3" l="1"/>
  <c r="E17" i="3" s="1"/>
  <c r="E22" i="3" s="1"/>
</calcChain>
</file>

<file path=xl/comments1.xml><?xml version="1.0" encoding="utf-8"?>
<comments xmlns="http://schemas.openxmlformats.org/spreadsheetml/2006/main">
  <authors>
    <author>Jesse</author>
  </authors>
  <commentList>
    <comment ref="E72" authorId="0">
      <text>
        <r>
          <rPr>
            <b/>
            <sz val="9"/>
            <color indexed="81"/>
            <rFont val="Tahoma"/>
            <family val="2"/>
          </rPr>
          <t>Jesse:</t>
        </r>
        <r>
          <rPr>
            <sz val="9"/>
            <color indexed="81"/>
            <rFont val="Tahoma"/>
            <family val="2"/>
          </rPr>
          <t xml:space="preserve">
See 2010 Investor Presentation for JV rental income info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Jesse:</t>
        </r>
        <r>
          <rPr>
            <sz val="9"/>
            <color indexed="81"/>
            <rFont val="Tahoma"/>
            <family val="2"/>
          </rPr>
          <t xml:space="preserve">
use 2010 AOX EBITDA margin as proxy at JV level</t>
        </r>
      </text>
    </comment>
    <comment ref="C79" authorId="0">
      <text>
        <r>
          <rPr>
            <b/>
            <sz val="9"/>
            <color indexed="81"/>
            <rFont val="Tahoma"/>
            <family val="2"/>
          </rPr>
          <t>Jesse:</t>
        </r>
        <r>
          <rPr>
            <sz val="9"/>
            <color indexed="81"/>
            <rFont val="Tahoma"/>
            <family val="2"/>
          </rPr>
          <t xml:space="preserve">
2010 Annual report - Part I, Interests in Joint Ventures shows Alstria’s share of non-current liabilities at the JV level. Look this up, assume this is interest-bearing debt, and input here as JV Debt.</t>
        </r>
      </text>
    </comment>
    <comment ref="C80" authorId="0">
      <text>
        <r>
          <rPr>
            <b/>
            <sz val="9"/>
            <color indexed="81"/>
            <rFont val="Tahoma"/>
            <family val="2"/>
          </rPr>
          <t>Jesse:</t>
        </r>
        <r>
          <rPr>
            <sz val="9"/>
            <color indexed="81"/>
            <rFont val="Tahoma"/>
            <family val="2"/>
          </rPr>
          <t xml:space="preserve">
Look up Alstria’s average cost of debt in the Annual Report - Part I, pg. 15 and input the interest rate as a “best guess” for the interest rate at the JV level.</t>
        </r>
      </text>
    </comment>
  </commentList>
</comments>
</file>

<file path=xl/sharedStrings.xml><?xml version="1.0" encoding="utf-8"?>
<sst xmlns="http://schemas.openxmlformats.org/spreadsheetml/2006/main" count="256" uniqueCount="74">
  <si>
    <t>Alstria Model Income Statement</t>
  </si>
  <si>
    <t>2009A</t>
  </si>
  <si>
    <t>2010A</t>
  </si>
  <si>
    <t>2011E</t>
  </si>
  <si>
    <t>2012E</t>
  </si>
  <si>
    <t>Rental Income - Organic</t>
  </si>
  <si>
    <t>Organic rental growth</t>
  </si>
  <si>
    <t>NM</t>
  </si>
  <si>
    <t>Rental Income - External</t>
  </si>
  <si>
    <t>Total Rental Income</t>
  </si>
  <si>
    <t>Operating Expenses</t>
  </si>
  <si>
    <t>NOI</t>
  </si>
  <si>
    <t>NOI Margin</t>
  </si>
  <si>
    <t>Corporate Expense</t>
  </si>
  <si>
    <t>Other Expenses &amp; Income, net</t>
  </si>
  <si>
    <t>EBITDA</t>
  </si>
  <si>
    <t>EBITDA Margin</t>
  </si>
  <si>
    <t>D&amp;A</t>
  </si>
  <si>
    <t>EBIT</t>
  </si>
  <si>
    <t>Cash Interest Expense, net</t>
  </si>
  <si>
    <t>PBT</t>
  </si>
  <si>
    <t>Cash Taxes</t>
  </si>
  <si>
    <t>Tax Rate</t>
  </si>
  <si>
    <t>JV Income &amp; Other</t>
  </si>
  <si>
    <t>Add back: D&amp;A</t>
  </si>
  <si>
    <t>FFO</t>
  </si>
  <si>
    <t>Shares Outstanding (average)</t>
  </si>
  <si>
    <t>FFO per Share</t>
  </si>
  <si>
    <t>Alstria Model Balance Sheet - Assets</t>
  </si>
  <si>
    <t>Investment Property</t>
  </si>
  <si>
    <t>Equity Investments (JVs)</t>
  </si>
  <si>
    <t>PP&amp;E</t>
  </si>
  <si>
    <t>Intangibles, Derivatives and Financial Assets</t>
  </si>
  <si>
    <t>Receivables</t>
  </si>
  <si>
    <t>Cash</t>
  </si>
  <si>
    <t>Total Assets</t>
  </si>
  <si>
    <t>Debt</t>
  </si>
  <si>
    <t>Derivatives &amp; Profit Participation Rights</t>
  </si>
  <si>
    <t>Other Provisions &amp; Liabilties</t>
  </si>
  <si>
    <t>Trade Payables</t>
  </si>
  <si>
    <t>Total Liabilities</t>
  </si>
  <si>
    <t>Equity</t>
  </si>
  <si>
    <t>Total Assets &amp; Liabilities</t>
  </si>
  <si>
    <t>EXTERNAL GROWTH DRIVERS</t>
  </si>
  <si>
    <t>Acquisitions, net of Sales</t>
  </si>
  <si>
    <t>Acquisition Volume</t>
  </si>
  <si>
    <t>Acquisition Yield (gross)</t>
  </si>
  <si>
    <t>Rental Income Gained, total per acquisition</t>
  </si>
  <si>
    <t>New Rent from 2011E  Acquisitions (mid-year)</t>
  </si>
  <si>
    <t>New Rent from 2012E  Acquisitions (mid-year)</t>
  </si>
  <si>
    <t>New Rent from Acquisitions, per year</t>
  </si>
  <si>
    <t>Sales Volume</t>
  </si>
  <si>
    <t>Sales Yield (gross)</t>
  </si>
  <si>
    <t>Rental Income Lost, total per sale</t>
  </si>
  <si>
    <t>Rent lost from 2011E  Sales (mid-year)</t>
  </si>
  <si>
    <t>Rent lost from 2012E  Acquisitions (mid-year)</t>
  </si>
  <si>
    <t>Rent lost from Acquisitions, per year</t>
  </si>
  <si>
    <t>BALANCE SHEET DRIVERS</t>
  </si>
  <si>
    <t>Beginning Balance</t>
  </si>
  <si>
    <t>CAPEX</t>
  </si>
  <si>
    <t>Ending Balance</t>
  </si>
  <si>
    <t>JV Investments and Income</t>
  </si>
  <si>
    <t>JV Rental Income (pro-rata)</t>
  </si>
  <si>
    <t>JV EBITDA Margin</t>
  </si>
  <si>
    <t>JV EBITDA</t>
  </si>
  <si>
    <t>JV Interest Expense (pro-rata)</t>
  </si>
  <si>
    <t>JV Cash Taxes (pro-rata)</t>
  </si>
  <si>
    <t>JV FFO</t>
  </si>
  <si>
    <t>JV Debt (pro-rata)</t>
  </si>
  <si>
    <t>JV Interest Rate</t>
  </si>
  <si>
    <t>** Unhide "FFO w Placeholders - Complete" to compare your results by pressing: ALT + H + O + U + H + Enter</t>
  </si>
  <si>
    <t>&lt;-- Ignore for now</t>
  </si>
  <si>
    <t>&lt;-- Look in annual report for guidance</t>
  </si>
  <si>
    <t>&lt;-- Complete formulas in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</si>
</sst>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#;\(#,###\);&quot;   -   &quot;"/>
    <numFmt numFmtId="165" formatCode="0.0%"/>
    <numFmt numFmtId="166" formatCode="\€##,##0.00;\(\€##,##0.00\);&quot;   -   &quot;"/>
    <numFmt numFmtId="167" formatCode="#,##0;\(#,##0\);&quot;  -   &quot;"/>
    <numFmt numFmtId="168" formatCode="0.000"/>
    <numFmt numFmtId="171" formatCode="#,##0.000;\(#,##0.000\);&quot;  -   &quot;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3333FF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33CC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5"/>
      <color rgb="FFC00000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Border="1" applyAlignment="1"/>
    <xf numFmtId="164" fontId="5" fillId="0" borderId="0" xfId="0" applyNumberFormat="1" applyFont="1" applyAlignment="1">
      <alignment horizontal="right"/>
    </xf>
    <xf numFmtId="165" fontId="6" fillId="0" borderId="0" xfId="0" applyNumberFormat="1" applyFont="1"/>
    <xf numFmtId="165" fontId="5" fillId="0" borderId="0" xfId="0" applyNumberFormat="1" applyFont="1"/>
    <xf numFmtId="0" fontId="1" fillId="0" borderId="0" xfId="0" applyFont="1" applyFill="1" applyBorder="1" applyAlignment="1"/>
    <xf numFmtId="164" fontId="5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3" fillId="0" borderId="0" xfId="0" applyNumberFormat="1" applyFont="1" applyBorder="1"/>
    <xf numFmtId="164" fontId="2" fillId="0" borderId="1" xfId="0" applyNumberFormat="1" applyFont="1" applyBorder="1"/>
    <xf numFmtId="164" fontId="1" fillId="0" borderId="0" xfId="0" applyNumberFormat="1" applyFont="1"/>
    <xf numFmtId="0" fontId="4" fillId="0" borderId="0" xfId="0" applyFont="1" applyAlignment="1"/>
    <xf numFmtId="165" fontId="4" fillId="0" borderId="0" xfId="0" applyNumberFormat="1" applyFont="1"/>
    <xf numFmtId="165" fontId="1" fillId="0" borderId="0" xfId="0" applyNumberFormat="1" applyFont="1"/>
    <xf numFmtId="164" fontId="7" fillId="0" borderId="1" xfId="0" applyNumberFormat="1" applyFont="1" applyBorder="1"/>
    <xf numFmtId="164" fontId="7" fillId="2" borderId="1" xfId="0" applyNumberFormat="1" applyFont="1" applyFill="1" applyBorder="1"/>
    <xf numFmtId="164" fontId="7" fillId="0" borderId="0" xfId="0" applyNumberFormat="1" applyFont="1"/>
    <xf numFmtId="164" fontId="1" fillId="0" borderId="1" xfId="0" applyNumberFormat="1" applyFont="1" applyBorder="1"/>
    <xf numFmtId="166" fontId="1" fillId="0" borderId="0" xfId="0" applyNumberFormat="1" applyFont="1"/>
    <xf numFmtId="0" fontId="1" fillId="0" borderId="1" xfId="0" applyFont="1" applyFill="1" applyBorder="1" applyAlignment="1"/>
    <xf numFmtId="0" fontId="1" fillId="0" borderId="1" xfId="0" applyFont="1" applyBorder="1"/>
    <xf numFmtId="0" fontId="1" fillId="0" borderId="1" xfId="0" applyFont="1" applyFill="1" applyBorder="1" applyAlignment="1">
      <alignment horizontal="right"/>
    </xf>
    <xf numFmtId="167" fontId="8" fillId="3" borderId="0" xfId="0" applyNumberFormat="1" applyFont="1" applyFill="1" applyBorder="1"/>
    <xf numFmtId="167" fontId="1" fillId="0" borderId="0" xfId="0" applyNumberFormat="1" applyFont="1"/>
    <xf numFmtId="167" fontId="8" fillId="3" borderId="1" xfId="0" applyNumberFormat="1" applyFont="1" applyFill="1" applyBorder="1"/>
    <xf numFmtId="167" fontId="3" fillId="3" borderId="0" xfId="0" applyNumberFormat="1" applyFont="1" applyFill="1" applyBorder="1"/>
    <xf numFmtId="0" fontId="9" fillId="0" borderId="0" xfId="0" applyFont="1" applyAlignment="1"/>
    <xf numFmtId="0" fontId="10" fillId="0" borderId="1" xfId="0" applyFont="1" applyBorder="1" applyAlignment="1"/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64" fontId="1" fillId="0" borderId="0" xfId="0" applyNumberFormat="1" applyFont="1" applyBorder="1"/>
    <xf numFmtId="167" fontId="1" fillId="0" borderId="0" xfId="0" applyNumberFormat="1" applyFont="1" applyBorder="1"/>
    <xf numFmtId="164" fontId="2" fillId="0" borderId="0" xfId="0" applyNumberFormat="1" applyFont="1" applyBorder="1"/>
    <xf numFmtId="168" fontId="1" fillId="0" borderId="0" xfId="0" applyNumberFormat="1" applyFont="1"/>
    <xf numFmtId="167" fontId="1" fillId="0" borderId="1" xfId="0" applyNumberFormat="1" applyFont="1" applyBorder="1"/>
    <xf numFmtId="165" fontId="2" fillId="0" borderId="1" xfId="0" applyNumberFormat="1" applyFont="1" applyBorder="1"/>
    <xf numFmtId="10" fontId="5" fillId="0" borderId="0" xfId="0" applyNumberFormat="1" applyFont="1"/>
    <xf numFmtId="10" fontId="6" fillId="0" borderId="0" xfId="0" applyNumberFormat="1" applyFont="1"/>
    <xf numFmtId="10" fontId="2" fillId="0" borderId="1" xfId="0" applyNumberFormat="1" applyFont="1" applyBorder="1"/>
    <xf numFmtId="164" fontId="3" fillId="4" borderId="0" xfId="0" applyNumberFormat="1" applyFont="1" applyFill="1"/>
    <xf numFmtId="164" fontId="3" fillId="4" borderId="1" xfId="0" applyNumberFormat="1" applyFont="1" applyFill="1" applyBorder="1"/>
    <xf numFmtId="165" fontId="4" fillId="4" borderId="0" xfId="0" applyNumberFormat="1" applyFont="1" applyFill="1"/>
    <xf numFmtId="0" fontId="12" fillId="0" borderId="0" xfId="0" applyFont="1" applyAlignment="1"/>
    <xf numFmtId="0" fontId="13" fillId="0" borderId="0" xfId="0" applyFont="1" applyAlignment="1"/>
    <xf numFmtId="165" fontId="5" fillId="3" borderId="0" xfId="0" applyNumberFormat="1" applyFont="1" applyFill="1"/>
    <xf numFmtId="164" fontId="7" fillId="3" borderId="1" xfId="0" applyNumberFormat="1" applyFont="1" applyFill="1" applyBorder="1"/>
    <xf numFmtId="164" fontId="3" fillId="4" borderId="0" xfId="0" applyNumberFormat="1" applyFont="1" applyFill="1" applyBorder="1"/>
    <xf numFmtId="167" fontId="14" fillId="0" borderId="2" xfId="0" applyNumberFormat="1" applyFont="1" applyBorder="1" applyAlignment="1">
      <alignment horizontal="center"/>
    </xf>
    <xf numFmtId="164" fontId="7" fillId="4" borderId="0" xfId="0" applyNumberFormat="1" applyFont="1" applyFill="1"/>
    <xf numFmtId="165" fontId="7" fillId="0" borderId="0" xfId="0" applyNumberFormat="1" applyFont="1"/>
    <xf numFmtId="167" fontId="8" fillId="5" borderId="0" xfId="0" applyNumberFormat="1" applyFont="1" applyFill="1" applyBorder="1"/>
    <xf numFmtId="10" fontId="5" fillId="5" borderId="0" xfId="0" applyNumberFormat="1" applyFont="1" applyFill="1"/>
    <xf numFmtId="167" fontId="1" fillId="4" borderId="0" xfId="0" applyNumberFormat="1" applyFont="1" applyFill="1" applyBorder="1"/>
    <xf numFmtId="164" fontId="1" fillId="4" borderId="0" xfId="0" applyNumberFormat="1" applyFont="1" applyFill="1"/>
    <xf numFmtId="166" fontId="1" fillId="4" borderId="0" xfId="0" applyNumberFormat="1" applyFont="1" applyFill="1"/>
    <xf numFmtId="164" fontId="1" fillId="4" borderId="1" xfId="0" applyNumberFormat="1" applyFont="1" applyFill="1" applyBorder="1"/>
    <xf numFmtId="0" fontId="0" fillId="0" borderId="0" xfId="0" quotePrefix="1"/>
    <xf numFmtId="167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5"/>
  <sheetViews>
    <sheetView showGridLines="0" tabSelected="1" workbookViewId="0"/>
  </sheetViews>
  <sheetFormatPr defaultColWidth="9.1796875" defaultRowHeight="14.5" outlineLevelRow="3" x14ac:dyDescent="0.35"/>
  <cols>
    <col min="1" max="1" width="42.54296875" customWidth="1"/>
    <col min="2" max="5" width="11.7265625" customWidth="1"/>
    <col min="6" max="6" width="10.7265625" customWidth="1"/>
    <col min="7" max="7" width="18.81640625" bestFit="1" customWidth="1"/>
    <col min="8" max="12" width="8.7265625" customWidth="1"/>
    <col min="13" max="16384" width="9.1796875" style="2"/>
  </cols>
  <sheetData>
    <row r="1" spans="1:12" ht="19.5" x14ac:dyDescent="0.45">
      <c r="A1" s="51"/>
      <c r="B1" s="2"/>
      <c r="C1" s="2"/>
      <c r="D1" s="2"/>
      <c r="E1" s="2"/>
      <c r="G1" s="2"/>
      <c r="H1" s="2"/>
      <c r="I1" s="2"/>
      <c r="J1" s="2"/>
      <c r="K1" s="2"/>
      <c r="L1" s="2"/>
    </row>
    <row r="2" spans="1:12" ht="20.149999999999999" customHeight="1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G2" s="2"/>
      <c r="H2" s="2"/>
      <c r="I2" s="2"/>
      <c r="J2" s="2"/>
      <c r="K2" s="2"/>
      <c r="L2" s="2"/>
    </row>
    <row r="3" spans="1:12" ht="12.75" customHeight="1" x14ac:dyDescent="0.35">
      <c r="A3" s="5" t="s">
        <v>5</v>
      </c>
      <c r="B3" s="6">
        <v>102510</v>
      </c>
      <c r="C3" s="6">
        <v>89094</v>
      </c>
      <c r="D3" s="7">
        <f>C6*(1+D4)</f>
        <v>90875.88</v>
      </c>
      <c r="E3" s="7">
        <f>D6*(1+E4)</f>
        <v>94733.397600000011</v>
      </c>
      <c r="G3" s="2"/>
      <c r="H3" s="2"/>
      <c r="I3" s="2"/>
      <c r="J3" s="2"/>
      <c r="K3" s="2"/>
      <c r="L3" s="2"/>
    </row>
    <row r="4" spans="1:12" ht="12.75" customHeight="1" x14ac:dyDescent="0.35">
      <c r="A4" s="8" t="s">
        <v>6</v>
      </c>
      <c r="B4" s="9" t="s">
        <v>7</v>
      </c>
      <c r="C4" s="10">
        <f>C3/B3-1</f>
        <v>-0.13087503658179689</v>
      </c>
      <c r="D4" s="11">
        <v>0.02</v>
      </c>
      <c r="E4" s="11">
        <v>0.02</v>
      </c>
      <c r="G4" s="2"/>
      <c r="H4" s="2"/>
      <c r="I4" s="2"/>
      <c r="J4" s="2"/>
      <c r="K4" s="2"/>
      <c r="L4" s="2"/>
    </row>
    <row r="5" spans="1:12" ht="12.75" customHeight="1" x14ac:dyDescent="0.35">
      <c r="A5" s="12" t="s">
        <v>8</v>
      </c>
      <c r="B5" s="13" t="s">
        <v>7</v>
      </c>
      <c r="C5" s="13" t="s">
        <v>7</v>
      </c>
      <c r="D5" s="14">
        <f>D62</f>
        <v>2000</v>
      </c>
      <c r="E5" s="14">
        <f t="shared" ref="E5" si="0">E62</f>
        <v>4000</v>
      </c>
      <c r="G5" s="2"/>
      <c r="H5" s="2"/>
      <c r="I5" s="2"/>
      <c r="J5" s="2"/>
      <c r="K5" s="2"/>
      <c r="L5" s="2"/>
    </row>
    <row r="6" spans="1:12" ht="12.75" customHeight="1" x14ac:dyDescent="0.35">
      <c r="A6" s="12" t="s">
        <v>9</v>
      </c>
      <c r="B6" s="15">
        <f>SUM(B3,B5)</f>
        <v>102510</v>
      </c>
      <c r="C6" s="15">
        <f>SUM(C3,C5)</f>
        <v>89094</v>
      </c>
      <c r="D6" s="15">
        <f t="shared" ref="D6:E6" si="1">SUM(D3,D5)</f>
        <v>92875.88</v>
      </c>
      <c r="E6" s="15">
        <f t="shared" si="1"/>
        <v>98733.397600000011</v>
      </c>
      <c r="G6" s="2"/>
      <c r="H6" s="2"/>
      <c r="I6" s="2"/>
      <c r="J6" s="2"/>
      <c r="K6" s="2"/>
      <c r="L6" s="2"/>
    </row>
    <row r="7" spans="1:12" ht="12.75" customHeight="1" x14ac:dyDescent="0.35">
      <c r="A7" s="1" t="s">
        <v>10</v>
      </c>
      <c r="B7" s="16">
        <f>-358-(10189-114)</f>
        <v>-10433</v>
      </c>
      <c r="C7" s="16">
        <f>-442-(6893-85)</f>
        <v>-7250</v>
      </c>
      <c r="D7" s="48"/>
      <c r="E7" s="48"/>
      <c r="G7" s="64" t="s">
        <v>73</v>
      </c>
      <c r="H7" s="2"/>
      <c r="I7" s="2"/>
      <c r="J7" s="2"/>
      <c r="K7" s="2"/>
      <c r="L7" s="2"/>
    </row>
    <row r="8" spans="1:12" ht="12.75" customHeight="1" x14ac:dyDescent="0.35">
      <c r="A8" s="1" t="s">
        <v>11</v>
      </c>
      <c r="B8" s="17">
        <f t="shared" ref="B8:C8" si="2">SUM(B6:B7)</f>
        <v>92077</v>
      </c>
      <c r="C8" s="17">
        <f t="shared" si="2"/>
        <v>81844</v>
      </c>
      <c r="D8" s="54"/>
      <c r="E8" s="54"/>
      <c r="H8" s="2"/>
      <c r="I8" s="2"/>
      <c r="J8" s="2"/>
      <c r="K8" s="2"/>
      <c r="L8" s="2"/>
    </row>
    <row r="9" spans="1:12" ht="12.75" customHeight="1" x14ac:dyDescent="0.35">
      <c r="A9" s="18" t="s">
        <v>12</v>
      </c>
      <c r="B9" s="19">
        <f>B8/B6</f>
        <v>0.89822456345722368</v>
      </c>
      <c r="C9" s="19">
        <f>C8/C6</f>
        <v>0.91862527218443446</v>
      </c>
      <c r="D9" s="52">
        <v>0.92112527218443441</v>
      </c>
      <c r="E9" s="52">
        <v>0.92362527218443435</v>
      </c>
      <c r="H9" s="2"/>
      <c r="I9" s="2"/>
      <c r="J9" s="2"/>
      <c r="K9" s="2"/>
      <c r="L9" s="2"/>
    </row>
    <row r="10" spans="1:12" ht="12.75" customHeight="1" x14ac:dyDescent="0.35">
      <c r="A10" s="1" t="s">
        <v>13</v>
      </c>
      <c r="B10" s="6">
        <f>-(6187-359)-(4990-466)</f>
        <v>-10352</v>
      </c>
      <c r="C10" s="6">
        <f>-(6073-485)-(5597-830)</f>
        <v>-10355</v>
      </c>
      <c r="D10" s="6">
        <f>-(6073-485)-(5597-830)</f>
        <v>-10355</v>
      </c>
      <c r="E10" s="6">
        <f>-(6073-485)-(5597-830)</f>
        <v>-10355</v>
      </c>
      <c r="H10" s="2"/>
      <c r="I10" s="2"/>
      <c r="J10" s="2"/>
      <c r="K10" s="2"/>
      <c r="L10" s="2"/>
    </row>
    <row r="11" spans="1:12" ht="12.75" customHeight="1" x14ac:dyDescent="0.35">
      <c r="A11" s="1" t="s">
        <v>14</v>
      </c>
      <c r="B11" s="16">
        <f>(3124-323-1290-170)-(1866-311)-85887*0-25*0</f>
        <v>-214</v>
      </c>
      <c r="C11" s="16">
        <f>(2029-367)-(1619-868-472-181-91)-12804*0+9278*0</f>
        <v>1655</v>
      </c>
      <c r="D11" s="53">
        <v>0</v>
      </c>
      <c r="E11" s="53">
        <v>0</v>
      </c>
      <c r="H11" s="2"/>
      <c r="I11" s="2"/>
      <c r="J11" s="2"/>
      <c r="K11" s="2"/>
      <c r="L11" s="2"/>
    </row>
    <row r="12" spans="1:12" ht="12.75" customHeight="1" x14ac:dyDescent="0.35">
      <c r="A12" s="1" t="s">
        <v>15</v>
      </c>
      <c r="B12" s="17">
        <f t="shared" ref="B12:C12" si="3">SUM(B8,B10,B11)</f>
        <v>81511</v>
      </c>
      <c r="C12" s="17">
        <f t="shared" si="3"/>
        <v>73144</v>
      </c>
      <c r="D12" s="61"/>
      <c r="E12" s="61"/>
      <c r="F12" s="55">
        <f>IF(E12=0,ABS(E12-'FFO w Placeholders - Complete'!E12),-(E12-'FFO w Placeholders - Complete'!E12))</f>
        <v>80837.661231993989</v>
      </c>
      <c r="H12" s="2"/>
      <c r="I12" s="2"/>
      <c r="J12" s="2"/>
      <c r="K12" s="2"/>
      <c r="L12" s="2"/>
    </row>
    <row r="13" spans="1:12" ht="12.75" customHeight="1" x14ac:dyDescent="0.35">
      <c r="A13" s="18" t="s">
        <v>16</v>
      </c>
      <c r="B13" s="19">
        <f t="shared" ref="B13:C13" si="4">B12/B6</f>
        <v>0.79515169251780315</v>
      </c>
      <c r="C13" s="19">
        <f t="shared" si="4"/>
        <v>0.82097559880575577</v>
      </c>
      <c r="D13" s="49"/>
      <c r="E13" s="49"/>
      <c r="F13" s="55">
        <f>IF(E13=0,ABS(E13-'FFO w Placeholders - Complete'!E13),-(E13-'FFO w Placeholders - Complete'!E13))</f>
        <v>0.81874687995132844</v>
      </c>
      <c r="L13" s="2"/>
    </row>
    <row r="14" spans="1:12" ht="12.75" customHeight="1" x14ac:dyDescent="0.35">
      <c r="A14" s="1" t="s">
        <v>17</v>
      </c>
      <c r="B14" s="16">
        <f>-114-359</f>
        <v>-473</v>
      </c>
      <c r="C14" s="16">
        <f>-485-85</f>
        <v>-570</v>
      </c>
      <c r="D14" s="22">
        <v>-600</v>
      </c>
      <c r="E14" s="22">
        <v>-650</v>
      </c>
      <c r="G14" s="64" t="s">
        <v>71</v>
      </c>
      <c r="L14" s="2"/>
    </row>
    <row r="15" spans="1:12" ht="12.75" customHeight="1" x14ac:dyDescent="0.35">
      <c r="A15" s="1" t="s">
        <v>18</v>
      </c>
      <c r="B15" s="17">
        <f t="shared" ref="B15:D15" si="5">SUM(B12,B14)</f>
        <v>81038</v>
      </c>
      <c r="C15" s="17">
        <f t="shared" si="5"/>
        <v>72574</v>
      </c>
      <c r="D15" s="17">
        <f t="shared" si="5"/>
        <v>-600</v>
      </c>
      <c r="E15" s="17">
        <f>SUM(E12,E14)</f>
        <v>-650</v>
      </c>
      <c r="L15" s="2"/>
    </row>
    <row r="16" spans="1:12" ht="12.75" customHeight="1" x14ac:dyDescent="0.35">
      <c r="A16" s="1" t="s">
        <v>19</v>
      </c>
      <c r="B16" s="16">
        <v>-52117</v>
      </c>
      <c r="C16" s="16">
        <f>-43165+278</f>
        <v>-42887</v>
      </c>
      <c r="D16" s="22">
        <v>-45000</v>
      </c>
      <c r="E16" s="22">
        <v>-50000</v>
      </c>
      <c r="L16" s="2"/>
    </row>
    <row r="17" spans="1:12" ht="12.75" customHeight="1" x14ac:dyDescent="0.35">
      <c r="A17" s="1" t="s">
        <v>20</v>
      </c>
      <c r="B17" s="17">
        <f t="shared" ref="B17:D17" si="6">SUM(B15:B16)</f>
        <v>28921</v>
      </c>
      <c r="C17" s="17">
        <f t="shared" si="6"/>
        <v>29687</v>
      </c>
      <c r="D17" s="17">
        <f t="shared" si="6"/>
        <v>-45600</v>
      </c>
      <c r="E17" s="17">
        <f>SUM(E15:E16)</f>
        <v>-50650</v>
      </c>
      <c r="L17" s="2"/>
    </row>
    <row r="18" spans="1:12" ht="12.75" customHeight="1" x14ac:dyDescent="0.35">
      <c r="A18" s="1" t="s">
        <v>21</v>
      </c>
      <c r="B18" s="23">
        <f>-110*0</f>
        <v>0</v>
      </c>
      <c r="C18" s="23">
        <v>0</v>
      </c>
      <c r="D18" s="56"/>
      <c r="E18" s="56"/>
      <c r="F18" s="55">
        <f>IF(E18=0,ABS(E18-'FFO w Placeholders - Complete'!E18),-(E18-'FFO w Placeholders - Complete'!E18))</f>
        <v>7546.9153079984972</v>
      </c>
      <c r="L18" s="2"/>
    </row>
    <row r="19" spans="1:12" ht="12.75" customHeight="1" x14ac:dyDescent="0.35">
      <c r="A19" s="1" t="s">
        <v>22</v>
      </c>
      <c r="B19" s="17">
        <f>B18/B17</f>
        <v>0</v>
      </c>
      <c r="C19" s="17">
        <f>C18/C17</f>
        <v>0</v>
      </c>
      <c r="D19" s="57">
        <v>0.25</v>
      </c>
      <c r="E19" s="57">
        <v>0.25</v>
      </c>
      <c r="L19" s="2"/>
    </row>
    <row r="20" spans="1:12" ht="12.75" customHeight="1" x14ac:dyDescent="0.35">
      <c r="A20" s="1" t="s">
        <v>23</v>
      </c>
      <c r="B20" s="6">
        <f>-264-23294*0</f>
        <v>-264</v>
      </c>
      <c r="C20" s="6">
        <f>12070-12101-35672*0</f>
        <v>-31</v>
      </c>
      <c r="D20" s="47">
        <f>D77</f>
        <v>0</v>
      </c>
      <c r="E20" s="47">
        <f>E77</f>
        <v>1847.2755</v>
      </c>
      <c r="F20" s="55">
        <f>IF(E20=0,ABS(E20-'FFO w Placeholders - Complete'!E20),-(E20-'FFO w Placeholders - Complete'!E20))</f>
        <v>-1484.145</v>
      </c>
      <c r="L20" s="2"/>
    </row>
    <row r="21" spans="1:12" ht="12.75" customHeight="1" x14ac:dyDescent="0.35">
      <c r="A21" s="1" t="s">
        <v>24</v>
      </c>
      <c r="B21" s="24">
        <f>-B14</f>
        <v>473</v>
      </c>
      <c r="C21" s="24">
        <f>-C14</f>
        <v>570</v>
      </c>
      <c r="D21" s="63"/>
      <c r="E21" s="63"/>
      <c r="L21" s="2"/>
    </row>
    <row r="22" spans="1:12" ht="12.75" customHeight="1" x14ac:dyDescent="0.35">
      <c r="A22" s="1" t="s">
        <v>25</v>
      </c>
      <c r="B22" s="17">
        <f>SUM(B17,B18,B20,B21)</f>
        <v>29130</v>
      </c>
      <c r="C22" s="17">
        <f>SUM(C17,C18,C20,C21)</f>
        <v>30226</v>
      </c>
      <c r="D22" s="17">
        <f>SUM(D17,D18,D20,D21)</f>
        <v>-45600</v>
      </c>
      <c r="E22" s="17">
        <f t="shared" ref="E22" si="7">SUM(E17,E18,E20,E21)</f>
        <v>-48802.724499999997</v>
      </c>
      <c r="H22" s="2"/>
      <c r="I22" s="2"/>
      <c r="J22" s="2"/>
      <c r="K22" s="2"/>
      <c r="L22" s="2"/>
    </row>
    <row r="23" spans="1:12" ht="12.75" customHeight="1" x14ac:dyDescent="0.35">
      <c r="A23" s="1" t="s">
        <v>26</v>
      </c>
      <c r="B23" s="6">
        <v>56833</v>
      </c>
      <c r="C23" s="6">
        <v>57525</v>
      </c>
      <c r="D23" s="7">
        <f>C23</f>
        <v>57525</v>
      </c>
      <c r="E23" s="7">
        <f t="shared" ref="E23" si="8">D23</f>
        <v>57525</v>
      </c>
      <c r="H23" s="2"/>
      <c r="I23" s="2"/>
      <c r="J23" s="2"/>
      <c r="K23" s="2"/>
      <c r="L23" s="2"/>
    </row>
    <row r="24" spans="1:12" ht="12.75" customHeight="1" x14ac:dyDescent="0.35">
      <c r="A24" s="1" t="s">
        <v>27</v>
      </c>
      <c r="B24" s="25">
        <f>B22/B23</f>
        <v>0.51255432583182303</v>
      </c>
      <c r="C24" s="25">
        <f>C22/C23</f>
        <v>0.52544111255975667</v>
      </c>
      <c r="D24" s="62"/>
      <c r="E24" s="62"/>
      <c r="F24" s="55">
        <f>IF(E24=0,ABS(E24-'FFO w Placeholders - Complete'!E24),-(E24-'FFO w Placeholders - Complete'!E24))</f>
        <v>0.41119298433716628</v>
      </c>
      <c r="H24" s="2"/>
      <c r="I24" s="2"/>
      <c r="J24" s="2"/>
      <c r="K24" s="2"/>
      <c r="L24" s="2"/>
    </row>
    <row r="25" spans="1:12" x14ac:dyDescent="0.35">
      <c r="A25" s="2"/>
      <c r="B25" s="2"/>
      <c r="C25" s="2"/>
      <c r="D25" s="2"/>
      <c r="E25" s="2"/>
      <c r="H25" s="2"/>
      <c r="I25" s="2"/>
      <c r="J25" s="2"/>
      <c r="K25" s="2"/>
      <c r="L25" s="2"/>
    </row>
    <row r="26" spans="1:12" hidden="1" outlineLevel="1" x14ac:dyDescent="0.35">
      <c r="A26" s="26" t="s">
        <v>28</v>
      </c>
      <c r="B26" s="27"/>
      <c r="C26" s="28" t="s">
        <v>2</v>
      </c>
      <c r="D26" s="4" t="s">
        <v>3</v>
      </c>
      <c r="E26" s="4" t="s">
        <v>4</v>
      </c>
      <c r="H26" s="2"/>
      <c r="I26" s="2"/>
      <c r="J26" s="2"/>
      <c r="K26" s="2"/>
      <c r="L26" s="2"/>
    </row>
    <row r="27" spans="1:12" hidden="1" outlineLevel="1" x14ac:dyDescent="0.35">
      <c r="A27" s="2" t="s">
        <v>29</v>
      </c>
      <c r="B27" s="2"/>
      <c r="C27" s="29">
        <f>1348400+600</f>
        <v>1349000</v>
      </c>
      <c r="H27" s="2"/>
      <c r="I27" s="2"/>
      <c r="J27" s="2"/>
      <c r="K27" s="2"/>
      <c r="L27" s="2"/>
    </row>
    <row r="28" spans="1:12" hidden="1" outlineLevel="1" x14ac:dyDescent="0.35">
      <c r="A28" s="2" t="s">
        <v>30</v>
      </c>
      <c r="B28" s="2"/>
      <c r="C28" s="29">
        <v>32385</v>
      </c>
      <c r="H28" s="2"/>
      <c r="I28" s="2"/>
      <c r="J28" s="2"/>
      <c r="K28" s="2"/>
      <c r="L28" s="2"/>
    </row>
    <row r="29" spans="1:12" hidden="1" outlineLevel="1" x14ac:dyDescent="0.35">
      <c r="A29" s="2" t="s">
        <v>31</v>
      </c>
      <c r="B29" s="2"/>
      <c r="C29" s="29">
        <v>7826</v>
      </c>
      <c r="D29" s="2"/>
      <c r="E29" s="2"/>
      <c r="H29" s="2"/>
      <c r="I29" s="2"/>
      <c r="J29" s="2"/>
      <c r="K29" s="2"/>
      <c r="L29" s="2"/>
    </row>
    <row r="30" spans="1:12" hidden="1" outlineLevel="1" x14ac:dyDescent="0.35">
      <c r="A30" s="2" t="s">
        <v>32</v>
      </c>
      <c r="B30" s="2"/>
      <c r="C30" s="29">
        <f>319+181+17615+1</f>
        <v>18116</v>
      </c>
      <c r="D30" s="2"/>
      <c r="E30" s="2"/>
      <c r="H30" s="2"/>
      <c r="I30" s="2"/>
      <c r="J30" s="2"/>
      <c r="K30" s="2"/>
      <c r="L30" s="2"/>
    </row>
    <row r="31" spans="1:12" hidden="1" outlineLevel="1" x14ac:dyDescent="0.35">
      <c r="A31" s="2" t="s">
        <v>33</v>
      </c>
      <c r="B31" s="2"/>
      <c r="C31" s="29">
        <f>4117+1967+8137</f>
        <v>14221</v>
      </c>
      <c r="D31" s="2"/>
      <c r="E31" s="2"/>
      <c r="H31" s="2"/>
      <c r="I31" s="2"/>
      <c r="J31" s="2"/>
      <c r="K31" s="2"/>
      <c r="L31" s="2"/>
    </row>
    <row r="32" spans="1:12" hidden="1" outlineLevel="1" x14ac:dyDescent="0.35">
      <c r="A32" s="2" t="s">
        <v>34</v>
      </c>
      <c r="B32" s="2"/>
      <c r="C32" s="31">
        <v>120788</v>
      </c>
      <c r="D32" s="2"/>
      <c r="E32" s="2"/>
      <c r="H32" s="2"/>
      <c r="I32" s="2"/>
      <c r="J32" s="2"/>
      <c r="K32" s="2"/>
      <c r="L32" s="2"/>
    </row>
    <row r="33" spans="1:12" hidden="1" outlineLevel="1" x14ac:dyDescent="0.35">
      <c r="A33" s="2" t="s">
        <v>35</v>
      </c>
      <c r="B33" s="2"/>
      <c r="C33" s="32">
        <f>SUM(C27:C32)</f>
        <v>1542336</v>
      </c>
      <c r="D33" s="2"/>
      <c r="E33" s="2"/>
      <c r="H33" s="2"/>
      <c r="I33" s="2"/>
      <c r="J33" s="2"/>
      <c r="K33" s="2"/>
      <c r="L33" s="2"/>
    </row>
    <row r="34" spans="1:12" hidden="1" outlineLevel="1" x14ac:dyDescent="0.35">
      <c r="A34" s="2"/>
      <c r="B34" s="2"/>
      <c r="C34" s="2"/>
      <c r="D34" s="2"/>
      <c r="E34" s="2"/>
      <c r="H34" s="2"/>
      <c r="I34" s="2"/>
      <c r="J34" s="2"/>
      <c r="K34" s="2"/>
      <c r="L34" s="2"/>
    </row>
    <row r="35" spans="1:12" hidden="1" outlineLevel="1" x14ac:dyDescent="0.35">
      <c r="A35" s="2" t="s">
        <v>36</v>
      </c>
      <c r="B35" s="2"/>
      <c r="C35" s="29">
        <f>786410+7796</f>
        <v>794206</v>
      </c>
      <c r="D35" s="2"/>
      <c r="E35" s="2"/>
      <c r="H35" s="2"/>
      <c r="I35" s="2"/>
      <c r="J35" s="2"/>
      <c r="K35" s="2"/>
      <c r="L35" s="2"/>
    </row>
    <row r="36" spans="1:12" hidden="1" outlineLevel="1" x14ac:dyDescent="0.35">
      <c r="A36" s="2" t="s">
        <v>37</v>
      </c>
      <c r="B36" s="2"/>
      <c r="C36" s="29">
        <f>21842+355+21007</f>
        <v>43204</v>
      </c>
      <c r="D36" s="2"/>
      <c r="E36" s="2"/>
      <c r="H36" s="2"/>
      <c r="I36" s="2"/>
      <c r="J36" s="2"/>
      <c r="K36" s="2"/>
      <c r="L36" s="2"/>
    </row>
    <row r="37" spans="1:12" hidden="1" outlineLevel="1" x14ac:dyDescent="0.35">
      <c r="A37" s="2" t="s">
        <v>38</v>
      </c>
      <c r="B37" s="2"/>
      <c r="C37" s="29">
        <f>2180+324+6990</f>
        <v>9494</v>
      </c>
      <c r="D37" s="2"/>
      <c r="E37" s="2"/>
      <c r="H37" s="2"/>
      <c r="I37" s="2"/>
      <c r="J37" s="2"/>
      <c r="K37" s="2"/>
      <c r="L37" s="2"/>
    </row>
    <row r="38" spans="1:12" hidden="1" outlineLevel="1" x14ac:dyDescent="0.35">
      <c r="A38" s="2" t="s">
        <v>39</v>
      </c>
      <c r="B38" s="2"/>
      <c r="C38" s="31">
        <f>3024</f>
        <v>3024</v>
      </c>
      <c r="D38" s="2"/>
      <c r="E38" s="2"/>
      <c r="H38" s="2"/>
      <c r="I38" s="2"/>
      <c r="J38" s="2"/>
      <c r="K38" s="2"/>
      <c r="L38" s="2"/>
    </row>
    <row r="39" spans="1:12" hidden="1" outlineLevel="1" x14ac:dyDescent="0.35">
      <c r="A39" s="2" t="s">
        <v>40</v>
      </c>
      <c r="B39" s="2"/>
      <c r="C39" s="30">
        <f>SUM(C35:C38)</f>
        <v>849928</v>
      </c>
      <c r="D39" s="2"/>
      <c r="E39" s="2"/>
      <c r="H39" s="2"/>
      <c r="I39" s="2"/>
      <c r="J39" s="2"/>
      <c r="K39" s="2"/>
      <c r="L39" s="2"/>
    </row>
    <row r="40" spans="1:12" hidden="1" outlineLevel="1" x14ac:dyDescent="0.35">
      <c r="A40" s="2" t="s">
        <v>41</v>
      </c>
      <c r="B40" s="2"/>
      <c r="C40" s="31">
        <v>692408</v>
      </c>
      <c r="D40" s="2"/>
      <c r="E40" s="2"/>
      <c r="H40" s="2"/>
      <c r="I40" s="2"/>
      <c r="J40" s="2"/>
      <c r="K40" s="2"/>
      <c r="L40" s="2"/>
    </row>
    <row r="41" spans="1:12" hidden="1" outlineLevel="1" x14ac:dyDescent="0.35">
      <c r="A41" s="2" t="s">
        <v>42</v>
      </c>
      <c r="B41" s="2"/>
      <c r="C41" s="30">
        <f>SUM(C39:C40)</f>
        <v>1542336</v>
      </c>
      <c r="D41" s="2"/>
      <c r="E41" s="2"/>
      <c r="H41" s="2"/>
      <c r="I41" s="2"/>
      <c r="J41" s="2"/>
      <c r="K41" s="2"/>
      <c r="L41" s="2"/>
    </row>
    <row r="42" spans="1:12" outlineLevel="1" collapsed="1" x14ac:dyDescent="0.35">
      <c r="A42" s="1"/>
      <c r="B42" s="2"/>
      <c r="C42" s="2"/>
      <c r="D42" s="2"/>
      <c r="E42" s="2"/>
      <c r="H42" s="2"/>
      <c r="I42" s="2"/>
      <c r="J42" s="2"/>
      <c r="K42" s="2"/>
      <c r="L42" s="2"/>
    </row>
    <row r="43" spans="1:12" hidden="1" outlineLevel="2" x14ac:dyDescent="0.35">
      <c r="A43" s="1"/>
      <c r="B43" s="2"/>
      <c r="C43" s="2"/>
      <c r="D43" s="2"/>
      <c r="E43" s="2"/>
      <c r="H43" s="2"/>
      <c r="I43" s="2"/>
      <c r="J43" s="2"/>
      <c r="K43" s="2"/>
      <c r="L43" s="2"/>
    </row>
    <row r="44" spans="1:12" hidden="1" outlineLevel="2" x14ac:dyDescent="0.35">
      <c r="A44" s="33" t="s">
        <v>43</v>
      </c>
      <c r="B44" s="2"/>
      <c r="C44" s="2"/>
      <c r="D44" s="2"/>
      <c r="E44" s="2"/>
      <c r="H44" s="2"/>
      <c r="I44" s="2"/>
      <c r="J44" s="2"/>
      <c r="K44" s="2"/>
      <c r="L44" s="2"/>
    </row>
    <row r="45" spans="1:12" hidden="1" outlineLevel="2" x14ac:dyDescent="0.35">
      <c r="A45" s="34" t="s">
        <v>44</v>
      </c>
      <c r="B45" s="4" t="s">
        <v>1</v>
      </c>
      <c r="C45" s="4" t="s">
        <v>2</v>
      </c>
      <c r="D45" s="4" t="s">
        <v>3</v>
      </c>
      <c r="E45" s="4" t="s">
        <v>4</v>
      </c>
      <c r="H45" s="2"/>
      <c r="I45" s="2"/>
      <c r="J45" s="2"/>
      <c r="K45" s="2"/>
      <c r="L45" s="2"/>
    </row>
    <row r="46" spans="1:12" hidden="1" outlineLevel="2" x14ac:dyDescent="0.35">
      <c r="A46" s="1" t="s">
        <v>45</v>
      </c>
      <c r="B46" s="35" t="s">
        <v>7</v>
      </c>
      <c r="C46" s="35" t="s">
        <v>7</v>
      </c>
      <c r="D46" s="6">
        <v>100000</v>
      </c>
      <c r="E46" s="6">
        <v>100000</v>
      </c>
      <c r="H46" s="2"/>
      <c r="I46" s="2"/>
      <c r="J46" s="2"/>
      <c r="K46" s="2"/>
      <c r="L46" s="2"/>
    </row>
    <row r="47" spans="1:12" hidden="1" outlineLevel="2" x14ac:dyDescent="0.35">
      <c r="A47" s="1" t="s">
        <v>46</v>
      </c>
      <c r="B47" s="36" t="s">
        <v>7</v>
      </c>
      <c r="C47" s="36" t="s">
        <v>7</v>
      </c>
      <c r="D47" s="46">
        <v>6.5000000000000002E-2</v>
      </c>
      <c r="E47" s="46">
        <v>6.5000000000000002E-2</v>
      </c>
      <c r="H47" s="2"/>
      <c r="I47" s="2"/>
      <c r="J47" s="2"/>
      <c r="K47" s="2"/>
      <c r="L47" s="2"/>
    </row>
    <row r="48" spans="1:12" hidden="1" outlineLevel="2" x14ac:dyDescent="0.35">
      <c r="A48" s="1" t="s">
        <v>47</v>
      </c>
      <c r="B48" s="35" t="s">
        <v>7</v>
      </c>
      <c r="C48" s="35" t="s">
        <v>7</v>
      </c>
      <c r="D48" s="7">
        <f>D46*D47</f>
        <v>6500</v>
      </c>
      <c r="E48" s="7">
        <f>E46*E47</f>
        <v>6500</v>
      </c>
      <c r="H48" s="2"/>
      <c r="I48" s="2"/>
      <c r="J48" s="2"/>
      <c r="K48" s="2"/>
      <c r="L48" s="2"/>
    </row>
    <row r="49" spans="1:12" hidden="1" outlineLevel="2" x14ac:dyDescent="0.35">
      <c r="A49" s="1"/>
      <c r="B49" s="35"/>
      <c r="C49" s="35"/>
      <c r="D49" s="15"/>
      <c r="E49" s="15"/>
      <c r="H49" s="2"/>
      <c r="I49" s="2"/>
      <c r="J49" s="2"/>
      <c r="K49" s="2"/>
      <c r="L49" s="2"/>
    </row>
    <row r="50" spans="1:12" hidden="1" outlineLevel="2" x14ac:dyDescent="0.35">
      <c r="A50" s="1" t="s">
        <v>48</v>
      </c>
      <c r="B50" s="35" t="s">
        <v>7</v>
      </c>
      <c r="C50" s="35" t="s">
        <v>7</v>
      </c>
      <c r="D50" s="15">
        <f>$D$48*(1/2)</f>
        <v>3250</v>
      </c>
      <c r="E50" s="15">
        <f>$D$48*(1/2)</f>
        <v>3250</v>
      </c>
      <c r="H50" s="2"/>
      <c r="I50" s="2"/>
      <c r="J50" s="2"/>
      <c r="K50" s="2"/>
      <c r="L50" s="2"/>
    </row>
    <row r="51" spans="1:12" hidden="1" outlineLevel="2" x14ac:dyDescent="0.35">
      <c r="A51" s="1" t="s">
        <v>49</v>
      </c>
      <c r="B51" s="36" t="s">
        <v>7</v>
      </c>
      <c r="C51" s="36" t="s">
        <v>7</v>
      </c>
      <c r="D51" s="14">
        <v>0</v>
      </c>
      <c r="E51" s="14">
        <f>$E$48*(1/2)</f>
        <v>3250</v>
      </c>
      <c r="H51" s="2"/>
      <c r="I51" s="2"/>
      <c r="J51" s="2"/>
      <c r="K51" s="2"/>
      <c r="L51" s="2"/>
    </row>
    <row r="52" spans="1:12" hidden="1" outlineLevel="2" x14ac:dyDescent="0.35">
      <c r="A52" s="1" t="s">
        <v>50</v>
      </c>
      <c r="B52" s="15">
        <f>SUM(B50:B51)</f>
        <v>0</v>
      </c>
      <c r="C52" s="15">
        <f t="shared" ref="C52" si="9">SUM(C50:C51)</f>
        <v>0</v>
      </c>
      <c r="D52" s="15">
        <f>SUM(D50:D51)</f>
        <v>3250</v>
      </c>
      <c r="E52" s="15">
        <f>SUM(E50:E51)</f>
        <v>6500</v>
      </c>
      <c r="H52" s="2"/>
      <c r="I52" s="2"/>
      <c r="J52" s="2"/>
      <c r="K52" s="2"/>
      <c r="L52" s="2"/>
    </row>
    <row r="53" spans="1:12" hidden="1" outlineLevel="2" x14ac:dyDescent="0.35">
      <c r="A53" s="1"/>
      <c r="B53" s="2"/>
      <c r="C53" s="2"/>
      <c r="D53" s="2"/>
      <c r="E53" s="2"/>
      <c r="H53" s="2"/>
      <c r="I53" s="2"/>
      <c r="J53" s="2"/>
      <c r="K53" s="2"/>
      <c r="L53" s="2"/>
    </row>
    <row r="54" spans="1:12" hidden="1" outlineLevel="2" x14ac:dyDescent="0.35">
      <c r="A54" s="1" t="s">
        <v>51</v>
      </c>
      <c r="B54" s="35" t="s">
        <v>7</v>
      </c>
      <c r="C54" s="35" t="s">
        <v>7</v>
      </c>
      <c r="D54" s="6">
        <v>50000</v>
      </c>
      <c r="E54" s="6">
        <v>50000</v>
      </c>
      <c r="H54" s="2"/>
      <c r="I54" s="2"/>
      <c r="J54" s="2"/>
      <c r="K54" s="2"/>
      <c r="L54" s="2"/>
    </row>
    <row r="55" spans="1:12" hidden="1" outlineLevel="2" x14ac:dyDescent="0.35">
      <c r="A55" s="1" t="s">
        <v>52</v>
      </c>
      <c r="B55" s="36" t="s">
        <v>7</v>
      </c>
      <c r="C55" s="36" t="s">
        <v>7</v>
      </c>
      <c r="D55" s="46">
        <v>0.05</v>
      </c>
      <c r="E55" s="46">
        <v>0.05</v>
      </c>
      <c r="H55" s="2"/>
      <c r="I55" s="2"/>
      <c r="J55" s="2"/>
      <c r="K55" s="2"/>
      <c r="L55" s="2"/>
    </row>
    <row r="56" spans="1:12" hidden="1" outlineLevel="2" x14ac:dyDescent="0.35">
      <c r="A56" s="1" t="s">
        <v>53</v>
      </c>
      <c r="B56" s="35" t="s">
        <v>7</v>
      </c>
      <c r="C56" s="35" t="s">
        <v>7</v>
      </c>
      <c r="D56" s="7">
        <f>D54*D55</f>
        <v>2500</v>
      </c>
      <c r="E56" s="7">
        <f>E54*E55</f>
        <v>2500</v>
      </c>
      <c r="H56" s="2"/>
      <c r="I56" s="2"/>
      <c r="J56" s="2"/>
      <c r="K56" s="2"/>
      <c r="L56" s="2"/>
    </row>
    <row r="57" spans="1:12" hidden="1" outlineLevel="2" x14ac:dyDescent="0.35">
      <c r="A57" s="1"/>
      <c r="B57" s="35"/>
      <c r="C57" s="35"/>
      <c r="D57" s="15"/>
      <c r="E57" s="15"/>
      <c r="H57" s="2"/>
      <c r="I57" s="2"/>
      <c r="J57" s="2"/>
      <c r="K57" s="2"/>
      <c r="L57" s="2"/>
    </row>
    <row r="58" spans="1:12" hidden="1" outlineLevel="2" x14ac:dyDescent="0.35">
      <c r="A58" s="1" t="s">
        <v>54</v>
      </c>
      <c r="B58" s="35" t="s">
        <v>7</v>
      </c>
      <c r="C58" s="35" t="s">
        <v>7</v>
      </c>
      <c r="D58" s="15">
        <f>-$D$56*(1/2)</f>
        <v>-1250</v>
      </c>
      <c r="E58" s="15">
        <f>-$D$56*(1/2)</f>
        <v>-1250</v>
      </c>
      <c r="H58" s="2"/>
      <c r="I58" s="2"/>
      <c r="J58" s="2"/>
      <c r="K58" s="2"/>
      <c r="L58" s="2"/>
    </row>
    <row r="59" spans="1:12" hidden="1" outlineLevel="2" x14ac:dyDescent="0.35">
      <c r="A59" s="1" t="s">
        <v>55</v>
      </c>
      <c r="B59" s="36" t="s">
        <v>7</v>
      </c>
      <c r="C59" s="36" t="s">
        <v>7</v>
      </c>
      <c r="D59" s="14">
        <v>0</v>
      </c>
      <c r="E59" s="14">
        <f>-$E$56*(1/2)</f>
        <v>-1250</v>
      </c>
      <c r="H59" s="2"/>
      <c r="I59" s="2"/>
      <c r="J59" s="2"/>
      <c r="K59" s="2"/>
      <c r="L59" s="2"/>
    </row>
    <row r="60" spans="1:12" hidden="1" outlineLevel="2" x14ac:dyDescent="0.35">
      <c r="A60" s="1" t="s">
        <v>56</v>
      </c>
      <c r="B60" s="15">
        <f>SUM(B58:B59)</f>
        <v>0</v>
      </c>
      <c r="C60" s="15">
        <f t="shared" ref="C60" si="10">SUM(C58:C59)</f>
        <v>0</v>
      </c>
      <c r="D60" s="15">
        <f>SUM(D58:D59)</f>
        <v>-1250</v>
      </c>
      <c r="E60" s="15">
        <f>SUM(E58:E59)</f>
        <v>-2500</v>
      </c>
      <c r="H60" s="2"/>
      <c r="I60" s="2"/>
      <c r="J60" s="2"/>
      <c r="K60" s="2"/>
      <c r="L60" s="2"/>
    </row>
    <row r="61" spans="1:12" hidden="1" outlineLevel="2" x14ac:dyDescent="0.35">
      <c r="A61" s="1"/>
      <c r="B61" s="2"/>
      <c r="C61" s="2"/>
      <c r="D61" s="2"/>
      <c r="E61" s="2"/>
      <c r="H61" s="2"/>
      <c r="I61" s="2"/>
      <c r="J61" s="2"/>
      <c r="K61" s="2"/>
      <c r="L61" s="2"/>
    </row>
    <row r="62" spans="1:12" hidden="1" outlineLevel="3" x14ac:dyDescent="0.35">
      <c r="A62" s="1" t="s">
        <v>8</v>
      </c>
      <c r="B62" s="35" t="s">
        <v>7</v>
      </c>
      <c r="C62" s="35" t="s">
        <v>7</v>
      </c>
      <c r="D62" s="17">
        <f>D52+D60</f>
        <v>2000</v>
      </c>
      <c r="E62" s="17">
        <f>E52+E60</f>
        <v>4000</v>
      </c>
      <c r="H62" s="2"/>
      <c r="I62" s="2"/>
      <c r="J62" s="2"/>
      <c r="K62" s="2"/>
      <c r="L62" s="2"/>
    </row>
    <row r="63" spans="1:12" hidden="1" outlineLevel="2" collapsed="1" x14ac:dyDescent="0.35">
      <c r="A63" s="1"/>
      <c r="B63" s="2"/>
      <c r="C63" s="2"/>
      <c r="D63" s="2"/>
      <c r="E63" s="2"/>
      <c r="H63" s="2"/>
      <c r="I63" s="2"/>
      <c r="J63" s="2"/>
      <c r="K63" s="2"/>
      <c r="L63" s="2"/>
    </row>
    <row r="64" spans="1:12" hidden="1" outlineLevel="3" collapsed="1" x14ac:dyDescent="0.35">
      <c r="A64" s="33" t="s">
        <v>57</v>
      </c>
      <c r="B64" s="2"/>
      <c r="C64" s="2"/>
      <c r="D64" s="2"/>
      <c r="E64" s="2"/>
      <c r="H64" s="2"/>
      <c r="I64" s="2"/>
      <c r="J64" s="2"/>
      <c r="K64" s="2"/>
      <c r="L64" s="2"/>
    </row>
    <row r="65" spans="1:12" hidden="1" outlineLevel="3" x14ac:dyDescent="0.35">
      <c r="A65" s="34" t="s">
        <v>29</v>
      </c>
      <c r="B65" s="4" t="s">
        <v>1</v>
      </c>
      <c r="C65" s="4" t="s">
        <v>2</v>
      </c>
      <c r="D65" s="4" t="s">
        <v>3</v>
      </c>
      <c r="E65" s="4" t="s">
        <v>4</v>
      </c>
      <c r="H65" s="2"/>
      <c r="I65" s="2"/>
      <c r="J65" s="2"/>
      <c r="K65" s="2"/>
      <c r="L65" s="2"/>
    </row>
    <row r="66" spans="1:12" hidden="1" outlineLevel="3" x14ac:dyDescent="0.35">
      <c r="A66" s="1" t="s">
        <v>58</v>
      </c>
      <c r="B66" s="35"/>
      <c r="C66" s="35"/>
      <c r="D66" s="30"/>
      <c r="E66" s="30"/>
      <c r="H66" s="2"/>
      <c r="I66" s="2"/>
      <c r="J66" s="2"/>
      <c r="K66" s="2"/>
      <c r="L66" s="2"/>
    </row>
    <row r="67" spans="1:12" hidden="1" outlineLevel="3" x14ac:dyDescent="0.35">
      <c r="A67" s="5" t="s">
        <v>44</v>
      </c>
      <c r="B67" s="37"/>
      <c r="C67" s="37"/>
      <c r="D67" s="38"/>
      <c r="E67" s="38"/>
      <c r="H67" s="2"/>
      <c r="I67" s="2"/>
      <c r="J67" s="2"/>
      <c r="K67" s="2"/>
      <c r="L67" s="2"/>
    </row>
    <row r="68" spans="1:12" hidden="1" outlineLevel="3" x14ac:dyDescent="0.35">
      <c r="A68" s="1" t="s">
        <v>59</v>
      </c>
      <c r="B68" s="36"/>
      <c r="C68" s="36"/>
      <c r="D68" s="16"/>
      <c r="E68" s="16"/>
      <c r="H68" s="2"/>
      <c r="I68" s="2"/>
      <c r="J68" s="2"/>
      <c r="K68" s="2"/>
      <c r="L68" s="2"/>
    </row>
    <row r="69" spans="1:12" hidden="1" outlineLevel="3" x14ac:dyDescent="0.35">
      <c r="A69" s="1" t="s">
        <v>60</v>
      </c>
      <c r="B69" s="35"/>
      <c r="C69" s="32"/>
      <c r="D69" s="30"/>
      <c r="E69" s="30"/>
      <c r="H69" s="2"/>
      <c r="I69" s="2"/>
      <c r="J69" s="2"/>
      <c r="K69" s="2"/>
      <c r="L69" s="2"/>
    </row>
    <row r="70" spans="1:12" hidden="1" outlineLevel="2" collapsed="1" x14ac:dyDescent="0.35">
      <c r="A70" s="1"/>
      <c r="B70" s="2"/>
      <c r="C70" s="2"/>
      <c r="D70" s="2"/>
      <c r="E70" s="2"/>
      <c r="H70" s="2"/>
      <c r="I70" s="2"/>
      <c r="J70" s="2"/>
      <c r="K70" s="2"/>
      <c r="L70" s="2"/>
    </row>
    <row r="71" spans="1:12" outlineLevel="1" collapsed="1" x14ac:dyDescent="0.35">
      <c r="A71" s="34" t="s">
        <v>61</v>
      </c>
      <c r="B71" s="4" t="s">
        <v>1</v>
      </c>
      <c r="C71" s="4" t="s">
        <v>2</v>
      </c>
      <c r="D71" s="4" t="s">
        <v>3</v>
      </c>
      <c r="E71" s="4" t="s">
        <v>4</v>
      </c>
      <c r="H71" s="2"/>
      <c r="I71" s="2"/>
      <c r="J71" s="2"/>
      <c r="K71" s="2"/>
      <c r="L71" s="2"/>
    </row>
    <row r="72" spans="1:12" outlineLevel="1" x14ac:dyDescent="0.35">
      <c r="A72" s="1" t="s">
        <v>62</v>
      </c>
      <c r="B72" s="35" t="s">
        <v>7</v>
      </c>
      <c r="C72" s="35" t="s">
        <v>7</v>
      </c>
      <c r="D72" s="39">
        <v>0</v>
      </c>
      <c r="E72" s="40">
        <f>(910+2950/80%)*49%</f>
        <v>2252.7750000000001</v>
      </c>
      <c r="H72" s="2"/>
      <c r="I72" s="41"/>
      <c r="J72" s="2"/>
      <c r="K72" s="2"/>
      <c r="L72" s="2"/>
    </row>
    <row r="73" spans="1:12" outlineLevel="1" x14ac:dyDescent="0.35">
      <c r="A73" s="1" t="s">
        <v>63</v>
      </c>
      <c r="B73" s="36" t="s">
        <v>7</v>
      </c>
      <c r="C73" s="36" t="s">
        <v>7</v>
      </c>
      <c r="D73" s="42">
        <v>0</v>
      </c>
      <c r="E73" s="43">
        <v>0.82</v>
      </c>
      <c r="H73" s="2"/>
      <c r="I73" s="2"/>
      <c r="J73" s="2"/>
      <c r="K73" s="2"/>
      <c r="L73" s="2"/>
    </row>
    <row r="74" spans="1:12" outlineLevel="1" x14ac:dyDescent="0.35">
      <c r="A74" s="1" t="s">
        <v>64</v>
      </c>
      <c r="B74" s="35" t="s">
        <v>7</v>
      </c>
      <c r="C74" s="35" t="s">
        <v>7</v>
      </c>
      <c r="D74" s="39">
        <f>D72*D73</f>
        <v>0</v>
      </c>
      <c r="E74" s="39">
        <f>E72*E73</f>
        <v>1847.2755</v>
      </c>
      <c r="H74" s="2"/>
      <c r="I74" s="2"/>
      <c r="J74" s="2"/>
      <c r="K74" s="2"/>
      <c r="L74" s="2"/>
    </row>
    <row r="75" spans="1:12" outlineLevel="1" x14ac:dyDescent="0.35">
      <c r="A75" s="1" t="s">
        <v>65</v>
      </c>
      <c r="B75" s="35" t="s">
        <v>7</v>
      </c>
      <c r="C75" s="35" t="s">
        <v>7</v>
      </c>
      <c r="D75" s="60"/>
      <c r="E75" s="60"/>
      <c r="F75" s="55">
        <f>IF(E75=0,ABS(E75-'FFO w Placeholders - Complete'!E75),-(E75-'FFO w Placeholders - Complete'!E75))</f>
        <v>1484.145</v>
      </c>
      <c r="H75" s="2"/>
      <c r="I75" s="2"/>
      <c r="J75" s="2"/>
      <c r="K75" s="2"/>
      <c r="L75" s="2"/>
    </row>
    <row r="76" spans="1:12" outlineLevel="1" x14ac:dyDescent="0.35">
      <c r="A76" s="1" t="s">
        <v>66</v>
      </c>
      <c r="B76" s="36" t="s">
        <v>7</v>
      </c>
      <c r="C76" s="36" t="s">
        <v>7</v>
      </c>
      <c r="D76" s="42">
        <v>0</v>
      </c>
      <c r="E76" s="42">
        <v>0</v>
      </c>
      <c r="H76" s="2"/>
      <c r="I76" s="2"/>
      <c r="J76" s="2"/>
      <c r="K76" s="2"/>
      <c r="L76" s="2"/>
    </row>
    <row r="77" spans="1:12" outlineLevel="1" x14ac:dyDescent="0.35">
      <c r="A77" s="1" t="s">
        <v>67</v>
      </c>
      <c r="B77" s="35" t="s">
        <v>7</v>
      </c>
      <c r="C77" s="35" t="s">
        <v>7</v>
      </c>
      <c r="D77" s="30">
        <f>SUM(D74:D76)</f>
        <v>0</v>
      </c>
      <c r="E77" s="30">
        <f>SUM(E74:E76)</f>
        <v>1847.2755</v>
      </c>
      <c r="H77" s="2"/>
      <c r="I77" s="2"/>
      <c r="J77" s="2"/>
      <c r="K77" s="2"/>
      <c r="L77" s="2"/>
    </row>
    <row r="78" spans="1:12" outlineLevel="1" x14ac:dyDescent="0.35">
      <c r="A78" s="1"/>
      <c r="B78" s="2"/>
      <c r="C78" s="2"/>
      <c r="D78" s="2"/>
      <c r="E78" s="2"/>
      <c r="H78" s="2"/>
      <c r="I78" s="2"/>
      <c r="J78" s="2"/>
      <c r="K78" s="2"/>
      <c r="L78" s="2"/>
    </row>
    <row r="79" spans="1:12" outlineLevel="1" x14ac:dyDescent="0.35">
      <c r="A79" s="1" t="s">
        <v>68</v>
      </c>
      <c r="B79" s="35" t="s">
        <v>7</v>
      </c>
      <c r="C79" s="58"/>
      <c r="D79" s="15">
        <f>C79</f>
        <v>0</v>
      </c>
      <c r="E79" s="15">
        <f t="shared" ref="E79" si="11">D79</f>
        <v>0</v>
      </c>
      <c r="G79" s="64" t="s">
        <v>72</v>
      </c>
      <c r="H79" s="2"/>
      <c r="I79" s="2"/>
      <c r="J79" s="2"/>
      <c r="K79" s="2"/>
      <c r="L79" s="2"/>
    </row>
    <row r="80" spans="1:12" outlineLevel="1" x14ac:dyDescent="0.35">
      <c r="A80" s="1" t="s">
        <v>69</v>
      </c>
      <c r="B80" s="35" t="s">
        <v>7</v>
      </c>
      <c r="C80" s="59"/>
      <c r="D80" s="45">
        <f>C80</f>
        <v>0</v>
      </c>
      <c r="E80" s="45">
        <f>D80</f>
        <v>0</v>
      </c>
      <c r="G80" s="2"/>
      <c r="H80" s="2"/>
      <c r="I80" s="2"/>
      <c r="J80" s="2"/>
      <c r="K80" s="2"/>
      <c r="L80" s="2"/>
    </row>
    <row r="81" spans="1:12" outlineLevel="1" collapsed="1" x14ac:dyDescent="0.35">
      <c r="A81" s="50" t="s">
        <v>70</v>
      </c>
      <c r="B81" s="2"/>
      <c r="C81" s="2"/>
      <c r="D81" s="2"/>
      <c r="E81" s="2"/>
      <c r="G81" s="2"/>
      <c r="H81" s="2"/>
      <c r="I81" s="2"/>
      <c r="J81" s="2"/>
      <c r="K81" s="2"/>
      <c r="L81" s="2"/>
    </row>
    <row r="83" spans="1:12" x14ac:dyDescent="0.35">
      <c r="E83" s="65"/>
    </row>
    <row r="85" spans="1:12" x14ac:dyDescent="0.35">
      <c r="E85" s="66"/>
    </row>
  </sheetData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29F6007C-72A6-4F00-897D-62FC93F9F3C1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F12</xm:sqref>
        </x14:conditionalFormatting>
        <x14:conditionalFormatting xmlns:xm="http://schemas.microsoft.com/office/excel/2006/main">
          <x14:cfRule type="iconSet" priority="7" id="{59866AE1-2C76-409D-9466-D8796FAF4705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F13</xm:sqref>
        </x14:conditionalFormatting>
        <x14:conditionalFormatting xmlns:xm="http://schemas.microsoft.com/office/excel/2006/main">
          <x14:cfRule type="iconSet" priority="6" id="{34EB16BE-331E-405A-9E88-9B4C1568EFA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F18</xm:sqref>
        </x14:conditionalFormatting>
        <x14:conditionalFormatting xmlns:xm="http://schemas.microsoft.com/office/excel/2006/main">
          <x14:cfRule type="iconSet" priority="5" id="{B6190634-2332-45C2-A332-7C66FB4A2728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F20</xm:sqref>
        </x14:conditionalFormatting>
        <x14:conditionalFormatting xmlns:xm="http://schemas.microsoft.com/office/excel/2006/main">
          <x14:cfRule type="iconSet" priority="2" id="{D9DBF23C-DF2F-44E3-A951-4AB1547390B5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F75</xm:sqref>
        </x14:conditionalFormatting>
        <x14:conditionalFormatting xmlns:xm="http://schemas.microsoft.com/office/excel/2006/main">
          <x14:cfRule type="iconSet" priority="1" id="{A421514C-4323-4CE4-BCF6-3877921FA528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topLeftCell="A14" workbookViewId="0">
      <selection activeCell="E72" sqref="E72:E73"/>
    </sheetView>
  </sheetViews>
  <sheetFormatPr defaultColWidth="9.1796875" defaultRowHeight="14.5" outlineLevelRow="3" x14ac:dyDescent="0.35"/>
  <cols>
    <col min="1" max="1" width="42.54296875" customWidth="1"/>
    <col min="2" max="2" width="9.1796875" customWidth="1"/>
    <col min="3" max="3" width="9.7265625" bestFit="1" customWidth="1"/>
    <col min="4" max="4" width="8.7265625"/>
    <col min="5" max="5" width="10.1796875" bestFit="1" customWidth="1"/>
    <col min="6" max="6" width="18.81640625" bestFit="1" customWidth="1"/>
    <col min="7" max="11" width="8.7265625" customWidth="1"/>
    <col min="12" max="16384" width="9.1796875" style="2"/>
  </cols>
  <sheetData>
    <row r="1" spans="1:10" s="2" customFormat="1" outlineLevel="1" x14ac:dyDescent="0.35">
      <c r="A1" s="1"/>
    </row>
    <row r="2" spans="1:10" s="2" customFormat="1" ht="20.149999999999999" customHeight="1" outlineLevel="1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10" s="2" customFormat="1" ht="12.75" customHeight="1" outlineLevel="1" x14ac:dyDescent="0.35">
      <c r="A3" s="5" t="s">
        <v>5</v>
      </c>
      <c r="B3" s="6">
        <v>102510</v>
      </c>
      <c r="C3" s="6">
        <v>89094</v>
      </c>
      <c r="D3" s="7">
        <f>C6*(1+D4)</f>
        <v>90875.88</v>
      </c>
      <c r="E3" s="7">
        <f>D6*(1+E4)</f>
        <v>94733.397600000011</v>
      </c>
    </row>
    <row r="4" spans="1:10" s="2" customFormat="1" ht="12.75" customHeight="1" outlineLevel="1" x14ac:dyDescent="0.35">
      <c r="A4" s="8" t="s">
        <v>6</v>
      </c>
      <c r="B4" s="9" t="s">
        <v>7</v>
      </c>
      <c r="C4" s="10">
        <f>C3/B3-1</f>
        <v>-0.13087503658179689</v>
      </c>
      <c r="D4" s="11">
        <v>0.02</v>
      </c>
      <c r="E4" s="11">
        <v>0.02</v>
      </c>
    </row>
    <row r="5" spans="1:10" s="2" customFormat="1" ht="12.75" customHeight="1" outlineLevel="1" x14ac:dyDescent="0.35">
      <c r="A5" s="12" t="s">
        <v>8</v>
      </c>
      <c r="B5" s="13" t="s">
        <v>7</v>
      </c>
      <c r="C5" s="13" t="s">
        <v>7</v>
      </c>
      <c r="D5" s="14">
        <f>D62</f>
        <v>2000</v>
      </c>
      <c r="E5" s="14">
        <f t="shared" ref="E5" si="0">E62</f>
        <v>4000</v>
      </c>
    </row>
    <row r="6" spans="1:10" s="2" customFormat="1" ht="12.75" customHeight="1" outlineLevel="1" x14ac:dyDescent="0.35">
      <c r="A6" s="12" t="s">
        <v>9</v>
      </c>
      <c r="B6" s="15">
        <f>SUM(B3,B5)</f>
        <v>102510</v>
      </c>
      <c r="C6" s="15">
        <f>SUM(C3,C5)</f>
        <v>89094</v>
      </c>
      <c r="D6" s="15">
        <f t="shared" ref="D6:E6" si="1">SUM(D3,D5)</f>
        <v>92875.88</v>
      </c>
      <c r="E6" s="15">
        <f t="shared" si="1"/>
        <v>98733.397600000011</v>
      </c>
    </row>
    <row r="7" spans="1:10" s="2" customFormat="1" ht="12.75" customHeight="1" outlineLevel="1" x14ac:dyDescent="0.35">
      <c r="A7" s="1" t="s">
        <v>10</v>
      </c>
      <c r="B7" s="16">
        <f>-358-(10189-114)</f>
        <v>-10433</v>
      </c>
      <c r="C7" s="16">
        <f>-442-(6893-85)</f>
        <v>-7250</v>
      </c>
      <c r="D7" s="14">
        <f>-(1-D9)*D6</f>
        <v>-7325.5597556311322</v>
      </c>
      <c r="E7" s="14">
        <f>-(1-E9)*E6</f>
        <v>-7540.7363680060234</v>
      </c>
    </row>
    <row r="8" spans="1:10" s="2" customFormat="1" ht="12.75" customHeight="1" outlineLevel="1" x14ac:dyDescent="0.35">
      <c r="A8" s="1" t="s">
        <v>11</v>
      </c>
      <c r="B8" s="17">
        <f t="shared" ref="B8:C8" si="2">SUM(B6:B7)</f>
        <v>92077</v>
      </c>
      <c r="C8" s="17">
        <f t="shared" si="2"/>
        <v>81844</v>
      </c>
      <c r="D8" s="17">
        <f>SUM(D6:D7)</f>
        <v>85550.320244368879</v>
      </c>
      <c r="E8" s="17">
        <f>SUM(E6:E7)</f>
        <v>91192.661231993989</v>
      </c>
    </row>
    <row r="9" spans="1:10" s="2" customFormat="1" ht="12.75" customHeight="1" outlineLevel="1" x14ac:dyDescent="0.35">
      <c r="A9" s="18" t="s">
        <v>12</v>
      </c>
      <c r="B9" s="19">
        <f>B8/B6</f>
        <v>0.89822456345722368</v>
      </c>
      <c r="C9" s="19">
        <f>C8/C6</f>
        <v>0.91862527218443446</v>
      </c>
      <c r="D9" s="19">
        <f>C9+0.25%</f>
        <v>0.92112527218443441</v>
      </c>
      <c r="E9" s="19">
        <f>D9+0.25%</f>
        <v>0.92362527218443435</v>
      </c>
      <c r="F9" s="20"/>
    </row>
    <row r="10" spans="1:10" s="2" customFormat="1" ht="12.75" customHeight="1" outlineLevel="1" x14ac:dyDescent="0.35">
      <c r="A10" s="1" t="s">
        <v>13</v>
      </c>
      <c r="B10" s="6">
        <f>-(6187-359)-(4990-466)</f>
        <v>-10352</v>
      </c>
      <c r="C10" s="6">
        <f>-(6073-485)-(5597-830)</f>
        <v>-10355</v>
      </c>
      <c r="D10" s="7">
        <f>C10</f>
        <v>-10355</v>
      </c>
      <c r="E10" s="7">
        <f>D10</f>
        <v>-10355</v>
      </c>
    </row>
    <row r="11" spans="1:10" s="2" customFormat="1" ht="12.75" customHeight="1" outlineLevel="1" x14ac:dyDescent="0.35">
      <c r="A11" s="1" t="s">
        <v>14</v>
      </c>
      <c r="B11" s="16">
        <f>(3124-323-1290-170)-(1866-311)-85887*0-25*0</f>
        <v>-214</v>
      </c>
      <c r="C11" s="16">
        <f>(2029-367)-(1619-868-472-181-91)-12804*0+9278*0</f>
        <v>1655</v>
      </c>
      <c r="D11" s="21">
        <v>0</v>
      </c>
      <c r="E11" s="21">
        <v>0</v>
      </c>
    </row>
    <row r="12" spans="1:10" s="2" customFormat="1" ht="12.75" customHeight="1" outlineLevel="1" x14ac:dyDescent="0.35">
      <c r="A12" s="1" t="s">
        <v>15</v>
      </c>
      <c r="B12" s="17">
        <f t="shared" ref="B12:C12" si="3">SUM(B8,B10,B11)</f>
        <v>81511</v>
      </c>
      <c r="C12" s="17">
        <f t="shared" si="3"/>
        <v>73144</v>
      </c>
      <c r="D12" s="17">
        <f>SUM(D8,D10,D11)</f>
        <v>75195.320244368879</v>
      </c>
      <c r="E12" s="17">
        <f>SUM(E8,E10,E11)</f>
        <v>80837.661231993989</v>
      </c>
    </row>
    <row r="13" spans="1:10" s="2" customFormat="1" ht="12.75" customHeight="1" outlineLevel="1" x14ac:dyDescent="0.35">
      <c r="A13" s="18" t="s">
        <v>16</v>
      </c>
      <c r="B13" s="19">
        <f t="shared" ref="B13:C13" si="4">B12/B6</f>
        <v>0.79515169251780315</v>
      </c>
      <c r="C13" s="19">
        <f t="shared" si="4"/>
        <v>0.82097559880575577</v>
      </c>
      <c r="D13" s="19">
        <f>D12/D6</f>
        <v>0.80963238511838465</v>
      </c>
      <c r="E13" s="19">
        <f>E12/E6</f>
        <v>0.81874687995132844</v>
      </c>
      <c r="G13"/>
      <c r="H13"/>
      <c r="I13"/>
      <c r="J13"/>
    </row>
    <row r="14" spans="1:10" s="2" customFormat="1" ht="12.75" customHeight="1" outlineLevel="1" x14ac:dyDescent="0.35">
      <c r="A14" s="1" t="s">
        <v>17</v>
      </c>
      <c r="B14" s="16">
        <f>-114-359</f>
        <v>-473</v>
      </c>
      <c r="C14" s="16">
        <f>-485-85</f>
        <v>-570</v>
      </c>
      <c r="D14" s="22">
        <v>-600</v>
      </c>
      <c r="E14" s="22">
        <v>-650</v>
      </c>
      <c r="G14"/>
      <c r="H14"/>
      <c r="I14"/>
      <c r="J14"/>
    </row>
    <row r="15" spans="1:10" s="2" customFormat="1" ht="12.75" customHeight="1" outlineLevel="1" x14ac:dyDescent="0.35">
      <c r="A15" s="1" t="s">
        <v>18</v>
      </c>
      <c r="B15" s="17">
        <f t="shared" ref="B15:D15" si="5">SUM(B12,B14)</f>
        <v>81038</v>
      </c>
      <c r="C15" s="17">
        <f t="shared" si="5"/>
        <v>72574</v>
      </c>
      <c r="D15" s="17">
        <f t="shared" si="5"/>
        <v>74595.320244368879</v>
      </c>
      <c r="E15" s="17">
        <f>SUM(E12,E14)</f>
        <v>80187.661231993989</v>
      </c>
      <c r="G15"/>
      <c r="H15"/>
      <c r="I15"/>
      <c r="J15"/>
    </row>
    <row r="16" spans="1:10" s="2" customFormat="1" ht="12.75" customHeight="1" outlineLevel="1" x14ac:dyDescent="0.35">
      <c r="A16" s="1" t="s">
        <v>19</v>
      </c>
      <c r="B16" s="16">
        <v>-52117</v>
      </c>
      <c r="C16" s="16">
        <f>-43165+278</f>
        <v>-42887</v>
      </c>
      <c r="D16" s="22">
        <v>-45000</v>
      </c>
      <c r="E16" s="22">
        <v>-50000</v>
      </c>
      <c r="G16"/>
      <c r="H16"/>
      <c r="I16"/>
      <c r="J16"/>
    </row>
    <row r="17" spans="1:10" s="2" customFormat="1" ht="12.75" customHeight="1" outlineLevel="1" x14ac:dyDescent="0.35">
      <c r="A17" s="1" t="s">
        <v>20</v>
      </c>
      <c r="B17" s="17">
        <f t="shared" ref="B17:D17" si="6">SUM(B15:B16)</f>
        <v>28921</v>
      </c>
      <c r="C17" s="17">
        <f t="shared" si="6"/>
        <v>29687</v>
      </c>
      <c r="D17" s="17">
        <f t="shared" si="6"/>
        <v>29595.320244368879</v>
      </c>
      <c r="E17" s="17">
        <f>SUM(E15:E16)</f>
        <v>30187.661231993989</v>
      </c>
      <c r="G17"/>
      <c r="H17"/>
      <c r="I17"/>
      <c r="J17"/>
    </row>
    <row r="18" spans="1:10" s="2" customFormat="1" ht="12.75" customHeight="1" outlineLevel="1" x14ac:dyDescent="0.35">
      <c r="A18" s="1" t="s">
        <v>21</v>
      </c>
      <c r="B18" s="23">
        <f>-110*0</f>
        <v>0</v>
      </c>
      <c r="C18" s="23">
        <v>0</v>
      </c>
      <c r="D18" s="23">
        <f>-D17*D19</f>
        <v>-7398.8300610922197</v>
      </c>
      <c r="E18" s="23">
        <f>-E17*E19</f>
        <v>-7546.9153079984972</v>
      </c>
      <c r="G18"/>
      <c r="H18"/>
      <c r="I18"/>
      <c r="J18"/>
    </row>
    <row r="19" spans="1:10" s="2" customFormat="1" ht="12.75" customHeight="1" outlineLevel="1" x14ac:dyDescent="0.35">
      <c r="A19" s="1" t="s">
        <v>22</v>
      </c>
      <c r="B19" s="17">
        <f>B18/B17</f>
        <v>0</v>
      </c>
      <c r="C19" s="17">
        <f>C18/C17</f>
        <v>0</v>
      </c>
      <c r="D19" s="57">
        <v>0.25</v>
      </c>
      <c r="E19" s="57">
        <v>0.25</v>
      </c>
      <c r="G19"/>
      <c r="H19"/>
      <c r="I19"/>
      <c r="J19"/>
    </row>
    <row r="20" spans="1:10" s="2" customFormat="1" ht="12.75" customHeight="1" outlineLevel="1" x14ac:dyDescent="0.35">
      <c r="A20" s="1" t="s">
        <v>23</v>
      </c>
      <c r="B20" s="6">
        <f>-264-23294*0</f>
        <v>-264</v>
      </c>
      <c r="C20" s="6">
        <f>12070-12101-35672*0</f>
        <v>-31</v>
      </c>
      <c r="D20" s="7">
        <f>D77</f>
        <v>-1484.145</v>
      </c>
      <c r="E20" s="7">
        <f t="shared" ref="E20" si="7">E77</f>
        <v>363.13049999999998</v>
      </c>
      <c r="G20"/>
      <c r="H20"/>
      <c r="I20"/>
      <c r="J20"/>
    </row>
    <row r="21" spans="1:10" s="2" customFormat="1" ht="12.75" customHeight="1" outlineLevel="1" x14ac:dyDescent="0.35">
      <c r="A21" s="1" t="s">
        <v>24</v>
      </c>
      <c r="B21" s="24">
        <f>-B14</f>
        <v>473</v>
      </c>
      <c r="C21" s="24">
        <f>-C14</f>
        <v>570</v>
      </c>
      <c r="D21" s="24">
        <f>-D14</f>
        <v>600</v>
      </c>
      <c r="E21" s="24">
        <f>-E14</f>
        <v>650</v>
      </c>
      <c r="G21"/>
      <c r="H21"/>
      <c r="I21"/>
      <c r="J21"/>
    </row>
    <row r="22" spans="1:10" s="2" customFormat="1" ht="12.75" customHeight="1" outlineLevel="1" x14ac:dyDescent="0.35">
      <c r="A22" s="1" t="s">
        <v>25</v>
      </c>
      <c r="B22" s="17">
        <f>SUM(B17,B18,B20,B21)</f>
        <v>29130</v>
      </c>
      <c r="C22" s="17">
        <f>SUM(C17,C18,C20,C21)</f>
        <v>30226</v>
      </c>
      <c r="D22" s="17">
        <f>SUM(D17,D18,D20,D21)</f>
        <v>21312.345183276659</v>
      </c>
      <c r="E22" s="17">
        <f t="shared" ref="E22" si="8">SUM(E17,E18,E20,E21)</f>
        <v>23653.876423995491</v>
      </c>
    </row>
    <row r="23" spans="1:10" s="2" customFormat="1" ht="12.75" customHeight="1" outlineLevel="1" x14ac:dyDescent="0.35">
      <c r="A23" s="1" t="s">
        <v>26</v>
      </c>
      <c r="B23" s="6">
        <v>56833</v>
      </c>
      <c r="C23" s="6">
        <v>57525</v>
      </c>
      <c r="D23" s="7">
        <f>C23</f>
        <v>57525</v>
      </c>
      <c r="E23" s="7">
        <f t="shared" ref="E23" si="9">D23</f>
        <v>57525</v>
      </c>
    </row>
    <row r="24" spans="1:10" s="2" customFormat="1" ht="12.75" customHeight="1" outlineLevel="1" x14ac:dyDescent="0.35">
      <c r="A24" s="1" t="s">
        <v>27</v>
      </c>
      <c r="B24" s="25">
        <f>B22/B23</f>
        <v>0.51255432583182303</v>
      </c>
      <c r="C24" s="25">
        <f>C22/C23</f>
        <v>0.52544111255975667</v>
      </c>
      <c r="D24" s="25">
        <f>D22/D23</f>
        <v>0.37048839953544821</v>
      </c>
      <c r="E24" s="25">
        <f t="shared" ref="E24" si="10">E22/E23</f>
        <v>0.41119298433716628</v>
      </c>
    </row>
    <row r="25" spans="1:10" s="2" customFormat="1" x14ac:dyDescent="0.35"/>
    <row r="26" spans="1:10" s="2" customFormat="1" hidden="1" outlineLevel="1" x14ac:dyDescent="0.35">
      <c r="A26" s="26" t="s">
        <v>28</v>
      </c>
      <c r="B26" s="27"/>
      <c r="C26" s="28" t="s">
        <v>2</v>
      </c>
      <c r="D26" s="4" t="s">
        <v>3</v>
      </c>
      <c r="E26" s="4" t="s">
        <v>4</v>
      </c>
    </row>
    <row r="27" spans="1:10" s="2" customFormat="1" hidden="1" outlineLevel="1" x14ac:dyDescent="0.35">
      <c r="A27" s="2" t="s">
        <v>29</v>
      </c>
      <c r="C27" s="29">
        <f>1348400+600</f>
        <v>1349000</v>
      </c>
      <c r="D27"/>
      <c r="E27"/>
    </row>
    <row r="28" spans="1:10" s="2" customFormat="1" hidden="1" outlineLevel="1" x14ac:dyDescent="0.35">
      <c r="A28" s="2" t="s">
        <v>30</v>
      </c>
      <c r="C28" s="29">
        <v>32385</v>
      </c>
      <c r="D28"/>
      <c r="E28"/>
    </row>
    <row r="29" spans="1:10" s="2" customFormat="1" hidden="1" outlineLevel="1" x14ac:dyDescent="0.35">
      <c r="A29" s="2" t="s">
        <v>31</v>
      </c>
      <c r="C29" s="29">
        <v>7826</v>
      </c>
    </row>
    <row r="30" spans="1:10" s="2" customFormat="1" hidden="1" outlineLevel="1" x14ac:dyDescent="0.35">
      <c r="A30" s="2" t="s">
        <v>32</v>
      </c>
      <c r="C30" s="29">
        <f>319+181+17615+1</f>
        <v>18116</v>
      </c>
    </row>
    <row r="31" spans="1:10" s="2" customFormat="1" hidden="1" outlineLevel="1" x14ac:dyDescent="0.35">
      <c r="A31" s="2" t="s">
        <v>33</v>
      </c>
      <c r="C31" s="29">
        <f>4117+1967+8137</f>
        <v>14221</v>
      </c>
    </row>
    <row r="32" spans="1:10" s="2" customFormat="1" hidden="1" outlineLevel="1" x14ac:dyDescent="0.35">
      <c r="A32" s="2" t="s">
        <v>34</v>
      </c>
      <c r="C32" s="31">
        <v>120788</v>
      </c>
    </row>
    <row r="33" spans="1:5" s="2" customFormat="1" hidden="1" outlineLevel="1" x14ac:dyDescent="0.35">
      <c r="A33" s="2" t="s">
        <v>35</v>
      </c>
      <c r="C33" s="32">
        <f>SUM(C27:C32)</f>
        <v>1542336</v>
      </c>
    </row>
    <row r="34" spans="1:5" s="2" customFormat="1" hidden="1" outlineLevel="1" x14ac:dyDescent="0.35"/>
    <row r="35" spans="1:5" s="2" customFormat="1" hidden="1" outlineLevel="1" x14ac:dyDescent="0.35">
      <c r="A35" s="2" t="s">
        <v>36</v>
      </c>
      <c r="C35" s="29">
        <f>786410+7796</f>
        <v>794206</v>
      </c>
    </row>
    <row r="36" spans="1:5" s="2" customFormat="1" hidden="1" outlineLevel="1" x14ac:dyDescent="0.35">
      <c r="A36" s="2" t="s">
        <v>37</v>
      </c>
      <c r="C36" s="29">
        <f>21842+355+21007</f>
        <v>43204</v>
      </c>
    </row>
    <row r="37" spans="1:5" s="2" customFormat="1" hidden="1" outlineLevel="1" x14ac:dyDescent="0.35">
      <c r="A37" s="2" t="s">
        <v>38</v>
      </c>
      <c r="C37" s="29">
        <f>2180+324+6990</f>
        <v>9494</v>
      </c>
    </row>
    <row r="38" spans="1:5" s="2" customFormat="1" hidden="1" outlineLevel="1" x14ac:dyDescent="0.35">
      <c r="A38" s="2" t="s">
        <v>39</v>
      </c>
      <c r="C38" s="31">
        <f>3024</f>
        <v>3024</v>
      </c>
    </row>
    <row r="39" spans="1:5" s="2" customFormat="1" hidden="1" outlineLevel="1" x14ac:dyDescent="0.35">
      <c r="A39" s="2" t="s">
        <v>40</v>
      </c>
      <c r="C39" s="30">
        <f>SUM(C35:C38)</f>
        <v>849928</v>
      </c>
    </row>
    <row r="40" spans="1:5" s="2" customFormat="1" hidden="1" outlineLevel="1" x14ac:dyDescent="0.35">
      <c r="A40" s="2" t="s">
        <v>41</v>
      </c>
      <c r="C40" s="31">
        <v>692408</v>
      </c>
    </row>
    <row r="41" spans="1:5" s="2" customFormat="1" hidden="1" outlineLevel="1" x14ac:dyDescent="0.35">
      <c r="A41" s="2" t="s">
        <v>42</v>
      </c>
      <c r="C41" s="30">
        <f>SUM(C39:C40)</f>
        <v>1542336</v>
      </c>
    </row>
    <row r="42" spans="1:5" s="2" customFormat="1" outlineLevel="1" collapsed="1" x14ac:dyDescent="0.35">
      <c r="A42" s="1"/>
    </row>
    <row r="43" spans="1:5" s="2" customFormat="1" hidden="1" outlineLevel="2" x14ac:dyDescent="0.35">
      <c r="A43" s="1"/>
    </row>
    <row r="44" spans="1:5" s="2" customFormat="1" hidden="1" outlineLevel="2" x14ac:dyDescent="0.35">
      <c r="A44" s="33" t="s">
        <v>43</v>
      </c>
    </row>
    <row r="45" spans="1:5" s="2" customFormat="1" hidden="1" outlineLevel="2" x14ac:dyDescent="0.35">
      <c r="A45" s="34" t="s">
        <v>44</v>
      </c>
      <c r="B45" s="4" t="s">
        <v>1</v>
      </c>
      <c r="C45" s="4" t="s">
        <v>2</v>
      </c>
      <c r="D45" s="4" t="s">
        <v>3</v>
      </c>
      <c r="E45" s="4" t="s">
        <v>4</v>
      </c>
    </row>
    <row r="46" spans="1:5" s="2" customFormat="1" hidden="1" outlineLevel="2" x14ac:dyDescent="0.35">
      <c r="A46" s="1" t="s">
        <v>45</v>
      </c>
      <c r="B46" s="35" t="s">
        <v>7</v>
      </c>
      <c r="C46" s="35" t="s">
        <v>7</v>
      </c>
      <c r="D46" s="6">
        <v>100000</v>
      </c>
      <c r="E46" s="6">
        <v>100000</v>
      </c>
    </row>
    <row r="47" spans="1:5" s="2" customFormat="1" hidden="1" outlineLevel="2" x14ac:dyDescent="0.35">
      <c r="A47" s="1" t="s">
        <v>46</v>
      </c>
      <c r="B47" s="36" t="s">
        <v>7</v>
      </c>
      <c r="C47" s="36" t="s">
        <v>7</v>
      </c>
      <c r="D47" s="46">
        <v>6.5000000000000002E-2</v>
      </c>
      <c r="E47" s="46">
        <v>6.5000000000000002E-2</v>
      </c>
    </row>
    <row r="48" spans="1:5" s="2" customFormat="1" hidden="1" outlineLevel="2" x14ac:dyDescent="0.35">
      <c r="A48" s="1" t="s">
        <v>47</v>
      </c>
      <c r="B48" s="35" t="s">
        <v>7</v>
      </c>
      <c r="C48" s="35" t="s">
        <v>7</v>
      </c>
      <c r="D48" s="7">
        <f>D46*D47</f>
        <v>6500</v>
      </c>
      <c r="E48" s="7">
        <f>E46*E47</f>
        <v>6500</v>
      </c>
    </row>
    <row r="49" spans="1:5" s="2" customFormat="1" hidden="1" outlineLevel="2" x14ac:dyDescent="0.35">
      <c r="A49" s="1"/>
      <c r="B49" s="35"/>
      <c r="C49" s="35"/>
      <c r="D49" s="15"/>
      <c r="E49" s="15"/>
    </row>
    <row r="50" spans="1:5" s="2" customFormat="1" hidden="1" outlineLevel="2" x14ac:dyDescent="0.35">
      <c r="A50" s="1" t="s">
        <v>48</v>
      </c>
      <c r="B50" s="35" t="s">
        <v>7</v>
      </c>
      <c r="C50" s="35" t="s">
        <v>7</v>
      </c>
      <c r="D50" s="15">
        <f>$D$48*(1/2)</f>
        <v>3250</v>
      </c>
      <c r="E50" s="15">
        <f>$D$48*(1/2)</f>
        <v>3250</v>
      </c>
    </row>
    <row r="51" spans="1:5" s="2" customFormat="1" hidden="1" outlineLevel="2" x14ac:dyDescent="0.35">
      <c r="A51" s="1" t="s">
        <v>49</v>
      </c>
      <c r="B51" s="36" t="s">
        <v>7</v>
      </c>
      <c r="C51" s="36" t="s">
        <v>7</v>
      </c>
      <c r="D51" s="14">
        <v>0</v>
      </c>
      <c r="E51" s="14">
        <f>$E$48*(1/2)</f>
        <v>3250</v>
      </c>
    </row>
    <row r="52" spans="1:5" s="2" customFormat="1" hidden="1" outlineLevel="2" x14ac:dyDescent="0.35">
      <c r="A52" s="1" t="s">
        <v>50</v>
      </c>
      <c r="B52" s="15">
        <f>SUM(B50:B51)</f>
        <v>0</v>
      </c>
      <c r="C52" s="15">
        <f t="shared" ref="C52" si="11">SUM(C50:C51)</f>
        <v>0</v>
      </c>
      <c r="D52" s="15">
        <f>SUM(D50:D51)</f>
        <v>3250</v>
      </c>
      <c r="E52" s="15">
        <f>SUM(E50:E51)</f>
        <v>6500</v>
      </c>
    </row>
    <row r="53" spans="1:5" s="2" customFormat="1" hidden="1" outlineLevel="2" x14ac:dyDescent="0.35">
      <c r="A53" s="1"/>
    </row>
    <row r="54" spans="1:5" s="2" customFormat="1" hidden="1" outlineLevel="2" x14ac:dyDescent="0.35">
      <c r="A54" s="1" t="s">
        <v>51</v>
      </c>
      <c r="B54" s="35" t="s">
        <v>7</v>
      </c>
      <c r="C54" s="35" t="s">
        <v>7</v>
      </c>
      <c r="D54" s="6">
        <v>50000</v>
      </c>
      <c r="E54" s="6">
        <v>50000</v>
      </c>
    </row>
    <row r="55" spans="1:5" s="2" customFormat="1" hidden="1" outlineLevel="2" x14ac:dyDescent="0.35">
      <c r="A55" s="1" t="s">
        <v>52</v>
      </c>
      <c r="B55" s="36" t="s">
        <v>7</v>
      </c>
      <c r="C55" s="36" t="s">
        <v>7</v>
      </c>
      <c r="D55" s="46">
        <v>0.05</v>
      </c>
      <c r="E55" s="46">
        <v>0.05</v>
      </c>
    </row>
    <row r="56" spans="1:5" s="2" customFormat="1" hidden="1" outlineLevel="2" x14ac:dyDescent="0.35">
      <c r="A56" s="1" t="s">
        <v>53</v>
      </c>
      <c r="B56" s="35" t="s">
        <v>7</v>
      </c>
      <c r="C56" s="35" t="s">
        <v>7</v>
      </c>
      <c r="D56" s="7">
        <f>D54*D55</f>
        <v>2500</v>
      </c>
      <c r="E56" s="7">
        <f>E54*E55</f>
        <v>2500</v>
      </c>
    </row>
    <row r="57" spans="1:5" s="2" customFormat="1" hidden="1" outlineLevel="2" x14ac:dyDescent="0.35">
      <c r="A57" s="1"/>
      <c r="B57" s="35"/>
      <c r="C57" s="35"/>
      <c r="D57" s="15"/>
      <c r="E57" s="15"/>
    </row>
    <row r="58" spans="1:5" s="2" customFormat="1" hidden="1" outlineLevel="2" x14ac:dyDescent="0.35">
      <c r="A58" s="1" t="s">
        <v>54</v>
      </c>
      <c r="B58" s="35" t="s">
        <v>7</v>
      </c>
      <c r="C58" s="35" t="s">
        <v>7</v>
      </c>
      <c r="D58" s="15">
        <f>-$D$56*(1/2)</f>
        <v>-1250</v>
      </c>
      <c r="E58" s="15">
        <f>-$D$56*(1/2)</f>
        <v>-1250</v>
      </c>
    </row>
    <row r="59" spans="1:5" s="2" customFormat="1" hidden="1" outlineLevel="2" x14ac:dyDescent="0.35">
      <c r="A59" s="1" t="s">
        <v>55</v>
      </c>
      <c r="B59" s="36" t="s">
        <v>7</v>
      </c>
      <c r="C59" s="36" t="s">
        <v>7</v>
      </c>
      <c r="D59" s="14">
        <v>0</v>
      </c>
      <c r="E59" s="14">
        <f>-$E$56*(1/2)</f>
        <v>-1250</v>
      </c>
    </row>
    <row r="60" spans="1:5" s="2" customFormat="1" hidden="1" outlineLevel="2" x14ac:dyDescent="0.35">
      <c r="A60" s="1" t="s">
        <v>56</v>
      </c>
      <c r="B60" s="15">
        <f>SUM(B58:B59)</f>
        <v>0</v>
      </c>
      <c r="C60" s="15">
        <f t="shared" ref="C60" si="12">SUM(C58:C59)</f>
        <v>0</v>
      </c>
      <c r="D60" s="15">
        <f>SUM(D58:D59)</f>
        <v>-1250</v>
      </c>
      <c r="E60" s="15">
        <f>SUM(E58:E59)</f>
        <v>-2500</v>
      </c>
    </row>
    <row r="61" spans="1:5" s="2" customFormat="1" hidden="1" outlineLevel="2" x14ac:dyDescent="0.35">
      <c r="A61" s="1"/>
    </row>
    <row r="62" spans="1:5" s="2" customFormat="1" hidden="1" outlineLevel="2" x14ac:dyDescent="0.35">
      <c r="A62" s="1" t="s">
        <v>8</v>
      </c>
      <c r="B62" s="35" t="s">
        <v>7</v>
      </c>
      <c r="C62" s="35" t="s">
        <v>7</v>
      </c>
      <c r="D62" s="17">
        <f>D52+D60</f>
        <v>2000</v>
      </c>
      <c r="E62" s="17">
        <f>E52+E60</f>
        <v>4000</v>
      </c>
    </row>
    <row r="63" spans="1:5" s="2" customFormat="1" hidden="1" outlineLevel="2" x14ac:dyDescent="0.35">
      <c r="A63" s="1"/>
    </row>
    <row r="64" spans="1:5" s="2" customFormat="1" hidden="1" outlineLevel="3" collapsed="1" x14ac:dyDescent="0.35">
      <c r="A64" s="33" t="s">
        <v>57</v>
      </c>
    </row>
    <row r="65" spans="1:8" s="2" customFormat="1" hidden="1" outlineLevel="3" x14ac:dyDescent="0.35">
      <c r="A65" s="34" t="s">
        <v>29</v>
      </c>
      <c r="B65" s="4" t="s">
        <v>1</v>
      </c>
      <c r="C65" s="4" t="s">
        <v>2</v>
      </c>
      <c r="D65" s="4" t="s">
        <v>3</v>
      </c>
      <c r="E65" s="4" t="s">
        <v>4</v>
      </c>
    </row>
    <row r="66" spans="1:8" s="2" customFormat="1" hidden="1" outlineLevel="3" x14ac:dyDescent="0.35">
      <c r="A66" s="1" t="s">
        <v>58</v>
      </c>
      <c r="B66" s="35"/>
      <c r="C66" s="35"/>
      <c r="D66" s="30"/>
      <c r="E66" s="30"/>
    </row>
    <row r="67" spans="1:8" s="2" customFormat="1" hidden="1" outlineLevel="3" x14ac:dyDescent="0.35">
      <c r="A67" s="5" t="s">
        <v>44</v>
      </c>
      <c r="B67" s="37"/>
      <c r="C67" s="37"/>
      <c r="D67" s="38"/>
      <c r="E67" s="38"/>
    </row>
    <row r="68" spans="1:8" s="2" customFormat="1" hidden="1" outlineLevel="3" x14ac:dyDescent="0.35">
      <c r="A68" s="1" t="s">
        <v>59</v>
      </c>
      <c r="B68" s="36"/>
      <c r="C68" s="36"/>
      <c r="D68" s="16"/>
      <c r="E68" s="16"/>
    </row>
    <row r="69" spans="1:8" s="2" customFormat="1" hidden="1" outlineLevel="3" x14ac:dyDescent="0.35">
      <c r="A69" s="1" t="s">
        <v>60</v>
      </c>
      <c r="B69" s="35"/>
      <c r="C69" s="32"/>
      <c r="D69" s="30"/>
      <c r="E69" s="30"/>
    </row>
    <row r="70" spans="1:8" s="2" customFormat="1" hidden="1" outlineLevel="2" x14ac:dyDescent="0.35">
      <c r="A70" s="1"/>
    </row>
    <row r="71" spans="1:8" s="2" customFormat="1" outlineLevel="1" collapsed="1" x14ac:dyDescent="0.35">
      <c r="A71" s="34" t="s">
        <v>61</v>
      </c>
      <c r="B71" s="4" t="s">
        <v>1</v>
      </c>
      <c r="C71" s="4" t="s">
        <v>2</v>
      </c>
      <c r="D71" s="4" t="s">
        <v>3</v>
      </c>
      <c r="E71" s="4" t="s">
        <v>4</v>
      </c>
    </row>
    <row r="72" spans="1:8" s="2" customFormat="1" outlineLevel="1" x14ac:dyDescent="0.35">
      <c r="A72" s="1" t="s">
        <v>62</v>
      </c>
      <c r="B72" s="35" t="s">
        <v>7</v>
      </c>
      <c r="C72" s="35" t="s">
        <v>7</v>
      </c>
      <c r="D72" s="39">
        <v>0</v>
      </c>
      <c r="E72" s="40">
        <f>(910+2950/80%)*49%</f>
        <v>2252.7750000000001</v>
      </c>
      <c r="H72" s="41"/>
    </row>
    <row r="73" spans="1:8" s="2" customFormat="1" outlineLevel="1" x14ac:dyDescent="0.35">
      <c r="A73" s="1" t="s">
        <v>63</v>
      </c>
      <c r="B73" s="36" t="s">
        <v>7</v>
      </c>
      <c r="C73" s="36" t="s">
        <v>7</v>
      </c>
      <c r="D73" s="42">
        <v>0</v>
      </c>
      <c r="E73" s="43">
        <v>0.82</v>
      </c>
    </row>
    <row r="74" spans="1:8" s="2" customFormat="1" outlineLevel="1" x14ac:dyDescent="0.35">
      <c r="A74" s="1" t="s">
        <v>64</v>
      </c>
      <c r="B74" s="35" t="s">
        <v>7</v>
      </c>
      <c r="C74" s="35" t="s">
        <v>7</v>
      </c>
      <c r="D74" s="39">
        <v>0</v>
      </c>
      <c r="E74" s="39">
        <f>E72*E73</f>
        <v>1847.2755</v>
      </c>
    </row>
    <row r="75" spans="1:8" s="2" customFormat="1" outlineLevel="1" x14ac:dyDescent="0.35">
      <c r="A75" s="1" t="s">
        <v>65</v>
      </c>
      <c r="B75" s="35" t="s">
        <v>7</v>
      </c>
      <c r="C75" s="35" t="s">
        <v>7</v>
      </c>
      <c r="D75" s="39">
        <f>-D79*D80</f>
        <v>-1484.145</v>
      </c>
      <c r="E75" s="39">
        <f>-E79*E80</f>
        <v>-1484.145</v>
      </c>
    </row>
    <row r="76" spans="1:8" s="2" customFormat="1" outlineLevel="1" x14ac:dyDescent="0.35">
      <c r="A76" s="1" t="s">
        <v>66</v>
      </c>
      <c r="B76" s="36" t="s">
        <v>7</v>
      </c>
      <c r="C76" s="36" t="s">
        <v>7</v>
      </c>
      <c r="D76" s="42">
        <v>0</v>
      </c>
      <c r="E76" s="42">
        <v>0</v>
      </c>
    </row>
    <row r="77" spans="1:8" s="2" customFormat="1" outlineLevel="1" x14ac:dyDescent="0.35">
      <c r="A77" s="1" t="s">
        <v>67</v>
      </c>
      <c r="B77" s="35" t="s">
        <v>7</v>
      </c>
      <c r="C77" s="35" t="s">
        <v>7</v>
      </c>
      <c r="D77" s="30">
        <f>SUM(D74:D76)</f>
        <v>-1484.145</v>
      </c>
      <c r="E77" s="30">
        <f>SUM(E74:E76)</f>
        <v>363.13049999999998</v>
      </c>
    </row>
    <row r="78" spans="1:8" s="2" customFormat="1" outlineLevel="1" x14ac:dyDescent="0.35">
      <c r="A78" s="1"/>
    </row>
    <row r="79" spans="1:8" s="2" customFormat="1" outlineLevel="1" x14ac:dyDescent="0.35">
      <c r="A79" s="1" t="s">
        <v>68</v>
      </c>
      <c r="B79" s="35" t="s">
        <v>7</v>
      </c>
      <c r="C79" s="29">
        <v>34515</v>
      </c>
      <c r="D79" s="15">
        <f>C79</f>
        <v>34515</v>
      </c>
      <c r="E79" s="15">
        <f t="shared" ref="E79" si="13">D79</f>
        <v>34515</v>
      </c>
    </row>
    <row r="80" spans="1:8" s="2" customFormat="1" outlineLevel="1" x14ac:dyDescent="0.35">
      <c r="A80" s="1" t="s">
        <v>69</v>
      </c>
      <c r="B80" s="35" t="s">
        <v>7</v>
      </c>
      <c r="C80" s="44">
        <v>4.2999999999999997E-2</v>
      </c>
      <c r="D80" s="45">
        <f>C80</f>
        <v>4.2999999999999997E-2</v>
      </c>
      <c r="E80" s="45">
        <f>D80</f>
        <v>4.2999999999999997E-2</v>
      </c>
    </row>
    <row r="81" spans="1:11" outlineLevel="1" collapsed="1" x14ac:dyDescent="0.3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FFO w Placeholders</vt:lpstr>
      <vt:lpstr>FFO w Placeholders - Complete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User</cp:lastModifiedBy>
  <dcterms:created xsi:type="dcterms:W3CDTF">2012-03-15T18:29:30Z</dcterms:created>
  <dcterms:modified xsi:type="dcterms:W3CDTF">2013-11-29T11:23:36Z</dcterms:modified>
</cp:coreProperties>
</file>